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A67D78D1-E23E-4A73-8902-1A1B37CD5F31}" xr6:coauthVersionLast="43" xr6:coauthVersionMax="43" xr10:uidLastSave="{00000000-0000-0000-0000-000000000000}"/>
  <bookViews>
    <workbookView xWindow="25920" yWindow="3165" windowWidth="24255" windowHeight="13680"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S114" i="3" l="1"/>
  <c r="W50" i="3" l="1"/>
  <c r="W61" i="3"/>
  <c r="X88" i="3"/>
  <c r="Y88" i="3"/>
  <c r="X55" i="3"/>
  <c r="Y55" i="3" s="1"/>
  <c r="Z55" i="3" s="1"/>
  <c r="AA55" i="3" s="1"/>
  <c r="U21" i="3"/>
  <c r="D16" i="3"/>
  <c r="D24" i="3"/>
  <c r="D26" i="3"/>
  <c r="D32" i="3" s="1"/>
  <c r="D34" i="3" s="1"/>
  <c r="E16" i="3"/>
  <c r="E24" i="3"/>
  <c r="E26" i="3" s="1"/>
  <c r="E32" i="3" s="1"/>
  <c r="E34" i="3" s="1"/>
  <c r="E36" i="3" s="1"/>
  <c r="F16" i="3"/>
  <c r="F24" i="3"/>
  <c r="G16" i="3"/>
  <c r="G19" i="3"/>
  <c r="G20" i="3"/>
  <c r="G21" i="3"/>
  <c r="H21" i="3" s="1"/>
  <c r="G22" i="3"/>
  <c r="G17" i="3"/>
  <c r="G25" i="3"/>
  <c r="G30" i="3"/>
  <c r="G31" i="3"/>
  <c r="G33" i="3"/>
  <c r="M13" i="3"/>
  <c r="M14" i="3"/>
  <c r="M15" i="3"/>
  <c r="M19" i="3"/>
  <c r="M20" i="3"/>
  <c r="M21" i="3"/>
  <c r="M22" i="3"/>
  <c r="M23" i="3"/>
  <c r="M17" i="3"/>
  <c r="M24" i="3"/>
  <c r="M25" i="3"/>
  <c r="L30" i="3"/>
  <c r="M30" i="3" s="1"/>
  <c r="L31" i="3"/>
  <c r="M31" i="3" s="1"/>
  <c r="M29" i="3"/>
  <c r="L33" i="3"/>
  <c r="M33" i="3" s="1"/>
  <c r="R13" i="3"/>
  <c r="R14" i="3"/>
  <c r="R15" i="3"/>
  <c r="R16" i="3"/>
  <c r="R19" i="3"/>
  <c r="R20" i="3"/>
  <c r="R21" i="3"/>
  <c r="R22" i="3"/>
  <c r="R23" i="3"/>
  <c r="R17" i="3"/>
  <c r="R24" i="3" s="1"/>
  <c r="R26" i="3" s="1"/>
  <c r="R32" i="3" s="1"/>
  <c r="R34" i="3" s="1"/>
  <c r="R25" i="3"/>
  <c r="N30" i="3"/>
  <c r="Q30" i="3"/>
  <c r="R30" i="3"/>
  <c r="R31" i="3"/>
  <c r="N29" i="3"/>
  <c r="O29" i="3"/>
  <c r="R29" i="3"/>
  <c r="R33" i="3"/>
  <c r="S16" i="3"/>
  <c r="S26" i="3" s="1"/>
  <c r="S32" i="3" s="1"/>
  <c r="S24" i="3"/>
  <c r="T16" i="3"/>
  <c r="T26" i="3" s="1"/>
  <c r="T24" i="3"/>
  <c r="T32" i="3"/>
  <c r="T34" i="3"/>
  <c r="U51" i="3"/>
  <c r="P52" i="3"/>
  <c r="U52" i="3"/>
  <c r="T51" i="3"/>
  <c r="T56" i="3" s="1"/>
  <c r="T58" i="3"/>
  <c r="S51" i="3"/>
  <c r="S56" i="3" s="1"/>
  <c r="S58" i="3"/>
  <c r="Q51" i="3"/>
  <c r="Q58" i="3"/>
  <c r="Q56" i="3"/>
  <c r="P51" i="3"/>
  <c r="P58" i="3"/>
  <c r="P56" i="3"/>
  <c r="U56" i="3"/>
  <c r="V56" i="3" s="1"/>
  <c r="U84" i="3"/>
  <c r="P85" i="3"/>
  <c r="U85" i="3"/>
  <c r="T84" i="3"/>
  <c r="T89" i="3" s="1"/>
  <c r="U89" i="3" s="1"/>
  <c r="V89" i="3" s="1"/>
  <c r="X89" i="3" s="1"/>
  <c r="Y89" i="3" s="1"/>
  <c r="T91" i="3"/>
  <c r="S84" i="3"/>
  <c r="S89" i="3" s="1"/>
  <c r="S91" i="3"/>
  <c r="U90" i="3"/>
  <c r="U118" i="3"/>
  <c r="P119" i="3"/>
  <c r="U122" i="3"/>
  <c r="U119" i="3"/>
  <c r="T118" i="3"/>
  <c r="T123" i="3" s="1"/>
  <c r="T125" i="3"/>
  <c r="S118" i="3"/>
  <c r="S125" i="3"/>
  <c r="Q118" i="3"/>
  <c r="Q125" i="3"/>
  <c r="Q123" i="3" s="1"/>
  <c r="Q126" i="3" s="1"/>
  <c r="P118" i="3"/>
  <c r="P125" i="3"/>
  <c r="P123" i="3"/>
  <c r="U164" i="3"/>
  <c r="U60" i="3"/>
  <c r="V60" i="3" s="1"/>
  <c r="U62" i="3"/>
  <c r="P62" i="3"/>
  <c r="P63" i="3" s="1"/>
  <c r="U63" i="3"/>
  <c r="Z63" i="3" s="1"/>
  <c r="U93" i="3"/>
  <c r="U95" i="3" s="1"/>
  <c r="P95" i="3"/>
  <c r="P96" i="3"/>
  <c r="U96" i="3" s="1"/>
  <c r="Z96" i="3" s="1"/>
  <c r="U127" i="3"/>
  <c r="U129" i="3" s="1"/>
  <c r="P129" i="3"/>
  <c r="P130" i="3"/>
  <c r="U130" i="3" s="1"/>
  <c r="Z130" i="3" s="1"/>
  <c r="S167" i="3"/>
  <c r="Q167" i="3"/>
  <c r="P167" i="3"/>
  <c r="U65" i="3"/>
  <c r="U98" i="3"/>
  <c r="T133" i="3"/>
  <c r="S133" i="3"/>
  <c r="U133" i="3"/>
  <c r="T150" i="3"/>
  <c r="S150" i="3"/>
  <c r="U150" i="3" s="1"/>
  <c r="U149" i="3" s="1"/>
  <c r="Q150" i="3"/>
  <c r="P150" i="3"/>
  <c r="T169" i="3"/>
  <c r="S169" i="3"/>
  <c r="Q169" i="3"/>
  <c r="P169" i="3"/>
  <c r="U169" i="3"/>
  <c r="T76" i="3"/>
  <c r="T79" i="3"/>
  <c r="T109" i="3"/>
  <c r="T113" i="3" s="1"/>
  <c r="T143" i="3"/>
  <c r="T146" i="3" s="1"/>
  <c r="T157" i="3"/>
  <c r="T161" i="3"/>
  <c r="U171" i="3"/>
  <c r="U172" i="3"/>
  <c r="V172" i="3" s="1"/>
  <c r="U174" i="3"/>
  <c r="U175" i="3"/>
  <c r="V175" i="3" s="1"/>
  <c r="X175" i="3" s="1"/>
  <c r="U170" i="3"/>
  <c r="U110" i="3"/>
  <c r="U158" i="3"/>
  <c r="V158" i="3" s="1"/>
  <c r="X158" i="3" s="1"/>
  <c r="U25" i="3"/>
  <c r="V51" i="3"/>
  <c r="Q52" i="3"/>
  <c r="V52" i="3"/>
  <c r="V84" i="3"/>
  <c r="Q85" i="3"/>
  <c r="V85" i="3" s="1"/>
  <c r="V90" i="3" s="1"/>
  <c r="V118" i="3"/>
  <c r="Q119" i="3"/>
  <c r="V119" i="3" s="1"/>
  <c r="V122" i="3"/>
  <c r="V164" i="3"/>
  <c r="V62" i="3"/>
  <c r="V64" i="3" s="1"/>
  <c r="Q62" i="3"/>
  <c r="Q63" i="3" s="1"/>
  <c r="V63" i="3" s="1"/>
  <c r="V93" i="3"/>
  <c r="Q95" i="3"/>
  <c r="Q96" i="3"/>
  <c r="V96" i="3"/>
  <c r="V127" i="3"/>
  <c r="V129" i="3"/>
  <c r="V131" i="3" s="1"/>
  <c r="Q129" i="3"/>
  <c r="Q130" i="3" s="1"/>
  <c r="V130" i="3"/>
  <c r="V65" i="3"/>
  <c r="V98" i="3"/>
  <c r="V149" i="3"/>
  <c r="V171" i="3"/>
  <c r="V21" i="3"/>
  <c r="V174" i="3"/>
  <c r="X174" i="3" s="1"/>
  <c r="V170" i="3"/>
  <c r="X170" i="3" s="1"/>
  <c r="V110" i="3"/>
  <c r="V25" i="3"/>
  <c r="W25" i="3" s="1"/>
  <c r="U194" i="3"/>
  <c r="U39" i="3" s="1"/>
  <c r="Q16" i="3"/>
  <c r="P16" i="3"/>
  <c r="P26" i="3" s="1"/>
  <c r="N16" i="3"/>
  <c r="N26" i="3" s="1"/>
  <c r="N186" i="3" s="1"/>
  <c r="N24" i="3"/>
  <c r="N32" i="3"/>
  <c r="N34" i="3" s="1"/>
  <c r="O16" i="3"/>
  <c r="O24" i="3"/>
  <c r="O26" i="3"/>
  <c r="O32" i="3" s="1"/>
  <c r="O34" i="3" s="1"/>
  <c r="P24" i="3"/>
  <c r="P32" i="3"/>
  <c r="P34" i="3" s="1"/>
  <c r="Q24" i="3"/>
  <c r="Q26" i="3"/>
  <c r="Q32" i="3" s="1"/>
  <c r="Q34" i="3" s="1"/>
  <c r="W21" i="3"/>
  <c r="W30" i="3"/>
  <c r="W31" i="3"/>
  <c r="W29" i="3"/>
  <c r="Y51" i="3"/>
  <c r="O52" i="3"/>
  <c r="T52" i="3" s="1"/>
  <c r="Y84" i="3"/>
  <c r="O85" i="3"/>
  <c r="T85" i="3"/>
  <c r="Y85" i="3"/>
  <c r="Y90" i="3" s="1"/>
  <c r="Y118" i="3"/>
  <c r="O119" i="3"/>
  <c r="T119" i="3" s="1"/>
  <c r="X122" i="3"/>
  <c r="Y122" i="3" s="1"/>
  <c r="Z122" i="3" s="1"/>
  <c r="AA122" i="3" s="1"/>
  <c r="AA119" i="3" s="1"/>
  <c r="Y164" i="3"/>
  <c r="S61" i="3"/>
  <c r="X61" i="3"/>
  <c r="Y61" i="3" s="1"/>
  <c r="T62" i="3"/>
  <c r="T63" i="3" s="1"/>
  <c r="Y63" i="3" s="1"/>
  <c r="S94" i="3"/>
  <c r="X94" i="3"/>
  <c r="T95" i="3"/>
  <c r="T96" i="3" s="1"/>
  <c r="Y96" i="3"/>
  <c r="X127" i="3"/>
  <c r="Y127" i="3"/>
  <c r="Y129" i="3" s="1"/>
  <c r="T129" i="3"/>
  <c r="T130" i="3"/>
  <c r="Y130" i="3" s="1"/>
  <c r="Y65" i="3"/>
  <c r="Y98" i="3"/>
  <c r="Y149" i="3"/>
  <c r="T69" i="3"/>
  <c r="T80" i="3"/>
  <c r="X65" i="3"/>
  <c r="S62" i="3"/>
  <c r="S63" i="3"/>
  <c r="X63" i="3" s="1"/>
  <c r="X51" i="3"/>
  <c r="N52" i="3"/>
  <c r="S52" i="3" s="1"/>
  <c r="T102" i="3"/>
  <c r="T114" i="3" s="1"/>
  <c r="Y114" i="3"/>
  <c r="X98" i="3"/>
  <c r="S95" i="3"/>
  <c r="S96" i="3"/>
  <c r="X96" i="3" s="1"/>
  <c r="X84" i="3"/>
  <c r="X90" i="3" s="1"/>
  <c r="N85" i="3"/>
  <c r="S85" i="3"/>
  <c r="X85" i="3" s="1"/>
  <c r="S109" i="3"/>
  <c r="S113" i="3"/>
  <c r="S102" i="3"/>
  <c r="T136" i="3"/>
  <c r="T147" i="3"/>
  <c r="Y147" i="3" s="1"/>
  <c r="X129" i="3"/>
  <c r="X131" i="3" s="1"/>
  <c r="S129" i="3"/>
  <c r="S130" i="3"/>
  <c r="X130" i="3" s="1"/>
  <c r="X118" i="3"/>
  <c r="N119" i="3"/>
  <c r="S119" i="3" s="1"/>
  <c r="S143" i="3"/>
  <c r="S146" i="3"/>
  <c r="S147" i="3" s="1"/>
  <c r="X147" i="3" s="1"/>
  <c r="S136" i="3"/>
  <c r="T162" i="3"/>
  <c r="Y162" i="3" s="1"/>
  <c r="X149" i="3"/>
  <c r="S157" i="3"/>
  <c r="S161" i="3"/>
  <c r="S162" i="3" s="1"/>
  <c r="X162" i="3" s="1"/>
  <c r="X171" i="3"/>
  <c r="Y171" i="3" s="1"/>
  <c r="Z171" i="3" s="1"/>
  <c r="AA171" i="3" s="1"/>
  <c r="X172" i="3"/>
  <c r="Y172" i="3" s="1"/>
  <c r="X164" i="3"/>
  <c r="Y21" i="3"/>
  <c r="Y174" i="3"/>
  <c r="Y175" i="3"/>
  <c r="Y170" i="3"/>
  <c r="Z170" i="3" s="1"/>
  <c r="AA170" i="3" s="1"/>
  <c r="X110" i="3"/>
  <c r="Y110" i="3"/>
  <c r="Y158" i="3"/>
  <c r="Y25" i="3"/>
  <c r="Y207" i="3"/>
  <c r="Z207" i="3" s="1"/>
  <c r="AA207" i="3"/>
  <c r="V44" i="3"/>
  <c r="V194" i="3"/>
  <c r="X44" i="3"/>
  <c r="X192" i="3"/>
  <c r="X194" i="3" s="1"/>
  <c r="X21" i="3"/>
  <c r="AB21" i="3" s="1"/>
  <c r="X25" i="3"/>
  <c r="T188" i="3"/>
  <c r="U35" i="3"/>
  <c r="V35" i="3" s="1"/>
  <c r="X35" i="3"/>
  <c r="Y35" i="3" s="1"/>
  <c r="U40" i="3"/>
  <c r="Y192" i="3"/>
  <c r="Y194" i="3" s="1"/>
  <c r="AA96" i="3"/>
  <c r="AA130" i="3"/>
  <c r="Z88" i="3"/>
  <c r="Z85" i="3"/>
  <c r="U82" i="3"/>
  <c r="Z84" i="3"/>
  <c r="O118" i="3"/>
  <c r="O125" i="3"/>
  <c r="O123" i="3"/>
  <c r="J118" i="3"/>
  <c r="J123" i="3" s="1"/>
  <c r="J125" i="3"/>
  <c r="K118" i="3"/>
  <c r="K123" i="3" s="1"/>
  <c r="K126" i="3" s="1"/>
  <c r="K125" i="3"/>
  <c r="I118" i="3"/>
  <c r="I125" i="3"/>
  <c r="I123" i="3" s="1"/>
  <c r="U116" i="3"/>
  <c r="Z118" i="3" s="1"/>
  <c r="N118" i="3"/>
  <c r="L118" i="3"/>
  <c r="S83" i="3"/>
  <c r="W94" i="3"/>
  <c r="O51" i="3"/>
  <c r="O56" i="3" s="1"/>
  <c r="O58" i="3"/>
  <c r="K51" i="3"/>
  <c r="K58" i="3"/>
  <c r="K56" i="3" s="1"/>
  <c r="J51" i="3"/>
  <c r="J58" i="3"/>
  <c r="J56" i="3"/>
  <c r="I51" i="3"/>
  <c r="I56" i="3" s="1"/>
  <c r="I58" i="3"/>
  <c r="N51" i="3"/>
  <c r="N56" i="3" s="1"/>
  <c r="N58" i="3"/>
  <c r="U49" i="3"/>
  <c r="V49" i="3"/>
  <c r="S50" i="3"/>
  <c r="X50" i="3"/>
  <c r="Y50" i="3"/>
  <c r="Z50" i="3" s="1"/>
  <c r="Z51" i="3"/>
  <c r="L51" i="3"/>
  <c r="L56" i="3" s="1"/>
  <c r="L59" i="3" s="1"/>
  <c r="L84" i="3"/>
  <c r="L89" i="3" s="1"/>
  <c r="L91" i="3"/>
  <c r="K84" i="3"/>
  <c r="K89" i="3" s="1"/>
  <c r="K91" i="3"/>
  <c r="O84" i="3"/>
  <c r="O91" i="3"/>
  <c r="O89" i="3" s="1"/>
  <c r="J84" i="3"/>
  <c r="J91" i="3"/>
  <c r="J89" i="3"/>
  <c r="N84" i="3"/>
  <c r="N89" i="3" s="1"/>
  <c r="N91" i="3"/>
  <c r="I84" i="3"/>
  <c r="I89" i="3" s="1"/>
  <c r="I92" i="3" s="1"/>
  <c r="I91" i="3"/>
  <c r="V82" i="3"/>
  <c r="AA84" i="3"/>
  <c r="Q84" i="3"/>
  <c r="P84" i="3"/>
  <c r="T66" i="3"/>
  <c r="T211" i="3"/>
  <c r="T208" i="3"/>
  <c r="T210" i="3"/>
  <c r="T213" i="3" s="1"/>
  <c r="T193" i="3"/>
  <c r="T194" i="3" s="1"/>
  <c r="T165" i="3"/>
  <c r="T99" i="3"/>
  <c r="T67" i="3"/>
  <c r="T68" i="3"/>
  <c r="I16" i="3"/>
  <c r="I26" i="3" s="1"/>
  <c r="I32" i="3" s="1"/>
  <c r="I34" i="3" s="1"/>
  <c r="I36" i="3" s="1"/>
  <c r="I24" i="3"/>
  <c r="J16" i="3"/>
  <c r="J26" i="3" s="1"/>
  <c r="J32" i="3" s="1"/>
  <c r="J34" i="3" s="1"/>
  <c r="J24" i="3"/>
  <c r="K16" i="3"/>
  <c r="K26" i="3" s="1"/>
  <c r="K24" i="3"/>
  <c r="K32" i="3"/>
  <c r="L16" i="3"/>
  <c r="L24" i="3"/>
  <c r="L26" i="3"/>
  <c r="L32" i="3" s="1"/>
  <c r="L34" i="3" s="1"/>
  <c r="L36" i="3" s="1"/>
  <c r="Q91" i="3"/>
  <c r="Q89" i="3"/>
  <c r="P91" i="3"/>
  <c r="P89" i="3"/>
  <c r="S165" i="3"/>
  <c r="Q165" i="3"/>
  <c r="P165" i="3"/>
  <c r="O165" i="3"/>
  <c r="O95" i="3"/>
  <c r="O96" i="3"/>
  <c r="O129" i="3"/>
  <c r="O130" i="3"/>
  <c r="O167" i="3"/>
  <c r="O62" i="3"/>
  <c r="O63" i="3" s="1"/>
  <c r="O169" i="3"/>
  <c r="O150" i="3"/>
  <c r="O194" i="3"/>
  <c r="P194" i="3"/>
  <c r="P191" i="3" s="1"/>
  <c r="Q194" i="3"/>
  <c r="Q190" i="3" s="1"/>
  <c r="S193" i="3"/>
  <c r="S194" i="3" s="1"/>
  <c r="S191" i="3" s="1"/>
  <c r="S190" i="3"/>
  <c r="S76" i="3"/>
  <c r="S79" i="3"/>
  <c r="S80" i="3" s="1"/>
  <c r="S117" i="3"/>
  <c r="X117" i="3"/>
  <c r="S69" i="3"/>
  <c r="Y44" i="3"/>
  <c r="Z89" i="3"/>
  <c r="AA89" i="3" s="1"/>
  <c r="Z164" i="3"/>
  <c r="Z127" i="3"/>
  <c r="Z129" i="3" s="1"/>
  <c r="Z131" i="3" s="1"/>
  <c r="Z61" i="3"/>
  <c r="Z98" i="3"/>
  <c r="Z65" i="3"/>
  <c r="Z44" i="3"/>
  <c r="Z190" i="3"/>
  <c r="Z192" i="3"/>
  <c r="Z114" i="3"/>
  <c r="Z147" i="3"/>
  <c r="Z162" i="3"/>
  <c r="Z172" i="3"/>
  <c r="Z174" i="3"/>
  <c r="Z175" i="3"/>
  <c r="Z110" i="3"/>
  <c r="Z25" i="3" s="1"/>
  <c r="Z158" i="3"/>
  <c r="AA164" i="3"/>
  <c r="AA61" i="3"/>
  <c r="AA63" i="3"/>
  <c r="AA98" i="3"/>
  <c r="AA149" i="3"/>
  <c r="AA65" i="3"/>
  <c r="AA44" i="3"/>
  <c r="AA190" i="3"/>
  <c r="AA114" i="3"/>
  <c r="AA147" i="3"/>
  <c r="AA162" i="3"/>
  <c r="AA172" i="3"/>
  <c r="AA174" i="3"/>
  <c r="AA175" i="3"/>
  <c r="AA158" i="3"/>
  <c r="AB31" i="3"/>
  <c r="AB29" i="3"/>
  <c r="Q191" i="3"/>
  <c r="W35" i="3"/>
  <c r="T36" i="3"/>
  <c r="Z191" i="3"/>
  <c r="AA191" i="3"/>
  <c r="D36" i="3"/>
  <c r="H13" i="3"/>
  <c r="H14" i="3"/>
  <c r="H15" i="3"/>
  <c r="H16" i="3"/>
  <c r="H19" i="3"/>
  <c r="H20" i="3"/>
  <c r="H22" i="3"/>
  <c r="H23" i="3"/>
  <c r="H17" i="3"/>
  <c r="H25" i="3"/>
  <c r="H30" i="3"/>
  <c r="H31" i="3"/>
  <c r="H29" i="3"/>
  <c r="H33" i="3"/>
  <c r="G35" i="3"/>
  <c r="H35" i="3" s="1"/>
  <c r="M35" i="3"/>
  <c r="J36" i="3"/>
  <c r="T27" i="3"/>
  <c r="T28" i="3" s="1"/>
  <c r="T37" i="3"/>
  <c r="M149" i="3"/>
  <c r="R149" i="3"/>
  <c r="M57" i="3"/>
  <c r="R57" i="3"/>
  <c r="R193" i="3"/>
  <c r="R35" i="3"/>
  <c r="W208" i="3"/>
  <c r="O198" i="3"/>
  <c r="O208" i="3" s="1"/>
  <c r="O210" i="3" s="1"/>
  <c r="O213" i="3" s="1"/>
  <c r="O196" i="3"/>
  <c r="P198" i="3"/>
  <c r="P197" i="3"/>
  <c r="P196" i="3"/>
  <c r="Q198" i="3"/>
  <c r="Q197" i="3"/>
  <c r="Q196" i="3"/>
  <c r="N198" i="3"/>
  <c r="N208" i="3" s="1"/>
  <c r="N210" i="3" s="1"/>
  <c r="N27" i="3" s="1"/>
  <c r="N196" i="3"/>
  <c r="S198" i="3"/>
  <c r="S197" i="3"/>
  <c r="S196" i="3"/>
  <c r="S208" i="3" s="1"/>
  <c r="S210" i="3" s="1"/>
  <c r="G37" i="3"/>
  <c r="E37" i="3"/>
  <c r="H37" i="3" s="1"/>
  <c r="F37" i="3"/>
  <c r="I37" i="3"/>
  <c r="M37" i="3" s="1"/>
  <c r="J37" i="3"/>
  <c r="K37" i="3"/>
  <c r="L37" i="3"/>
  <c r="P37" i="3"/>
  <c r="Q37" i="3"/>
  <c r="S37" i="3"/>
  <c r="D37" i="3"/>
  <c r="O211" i="3"/>
  <c r="O37" i="3" s="1"/>
  <c r="R37" i="3" s="1"/>
  <c r="D208" i="3"/>
  <c r="D210" i="3" s="1"/>
  <c r="E208" i="3"/>
  <c r="E210" i="3" s="1"/>
  <c r="F208" i="3"/>
  <c r="F210" i="3" s="1"/>
  <c r="F27" i="3" s="1"/>
  <c r="G208" i="3"/>
  <c r="G210" i="3" s="1"/>
  <c r="I208" i="3"/>
  <c r="I210" i="3" s="1"/>
  <c r="J208" i="3"/>
  <c r="K208" i="3"/>
  <c r="L208" i="3"/>
  <c r="L210" i="3" s="1"/>
  <c r="N211" i="3"/>
  <c r="N37" i="3" s="1"/>
  <c r="E61" i="3"/>
  <c r="F61" i="3"/>
  <c r="G61" i="3"/>
  <c r="E62" i="3"/>
  <c r="F62" i="3"/>
  <c r="G62" i="3"/>
  <c r="R44" i="3"/>
  <c r="M44" i="3"/>
  <c r="H44" i="3"/>
  <c r="Q208" i="3"/>
  <c r="Q210" i="3"/>
  <c r="Q27" i="3"/>
  <c r="W44" i="3"/>
  <c r="K210" i="3"/>
  <c r="J210" i="3"/>
  <c r="I213" i="3"/>
  <c r="I27" i="3"/>
  <c r="D213" i="3"/>
  <c r="D27" i="3"/>
  <c r="E27" i="3"/>
  <c r="E213" i="3"/>
  <c r="P208" i="3"/>
  <c r="P210" i="3" s="1"/>
  <c r="P27" i="3" s="1"/>
  <c r="P28" i="3" s="1"/>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c r="Q176" i="3"/>
  <c r="P176" i="3"/>
  <c r="O176" i="3"/>
  <c r="O177" i="3"/>
  <c r="N176" i="3"/>
  <c r="L176" i="3"/>
  <c r="K176" i="3"/>
  <c r="K177" i="3"/>
  <c r="J176" i="3"/>
  <c r="I176" i="3"/>
  <c r="N169" i="3"/>
  <c r="S159" i="3"/>
  <c r="Q157" i="3"/>
  <c r="Q161" i="3"/>
  <c r="Q162" i="3"/>
  <c r="P157" i="3"/>
  <c r="P161" i="3"/>
  <c r="P162" i="3"/>
  <c r="O157" i="3"/>
  <c r="N157" i="3"/>
  <c r="N161" i="3"/>
  <c r="N162" i="3" s="1"/>
  <c r="L157" i="3"/>
  <c r="L161" i="3"/>
  <c r="L162" i="3"/>
  <c r="K157" i="3"/>
  <c r="K161" i="3"/>
  <c r="K162" i="3"/>
  <c r="J157" i="3"/>
  <c r="I157" i="3"/>
  <c r="I161" i="3"/>
  <c r="I162" i="3" s="1"/>
  <c r="N150" i="3"/>
  <c r="Q143" i="3"/>
  <c r="Q146" i="3"/>
  <c r="Q147" i="3" s="1"/>
  <c r="P143" i="3"/>
  <c r="P146" i="3" s="1"/>
  <c r="P147" i="3" s="1"/>
  <c r="O143" i="3"/>
  <c r="O146" i="3"/>
  <c r="O147" i="3" s="1"/>
  <c r="N143" i="3"/>
  <c r="N146" i="3" s="1"/>
  <c r="L143" i="3"/>
  <c r="L146" i="3"/>
  <c r="L147" i="3" s="1"/>
  <c r="K143" i="3"/>
  <c r="K146" i="3" s="1"/>
  <c r="K147" i="3" s="1"/>
  <c r="J143" i="3"/>
  <c r="J146" i="3"/>
  <c r="I143" i="3"/>
  <c r="I146" i="3" s="1"/>
  <c r="V135" i="3"/>
  <c r="U135" i="3"/>
  <c r="T135" i="3"/>
  <c r="S134" i="3"/>
  <c r="Q134" i="3"/>
  <c r="P134" i="3"/>
  <c r="O134" i="3"/>
  <c r="N134" i="3"/>
  <c r="L134" i="3"/>
  <c r="K134" i="3"/>
  <c r="J134" i="3"/>
  <c r="I134" i="3"/>
  <c r="N129" i="3"/>
  <c r="N130" i="3"/>
  <c r="L129" i="3"/>
  <c r="L130" i="3" s="1"/>
  <c r="K129" i="3"/>
  <c r="K130" i="3"/>
  <c r="J129" i="3"/>
  <c r="J130" i="3" s="1"/>
  <c r="I129" i="3"/>
  <c r="I130" i="3"/>
  <c r="G129" i="3"/>
  <c r="F129" i="3"/>
  <c r="E129" i="3"/>
  <c r="AB128" i="3"/>
  <c r="S128" i="3"/>
  <c r="W128" i="3" s="1"/>
  <c r="W135" i="3" s="1"/>
  <c r="Q128" i="3"/>
  <c r="P128" i="3"/>
  <c r="O128" i="3"/>
  <c r="N128" i="3"/>
  <c r="L128" i="3"/>
  <c r="K128" i="3"/>
  <c r="K135" i="3" s="1"/>
  <c r="J128" i="3"/>
  <c r="I128" i="3"/>
  <c r="G128" i="3"/>
  <c r="F128" i="3"/>
  <c r="E128" i="3"/>
  <c r="N125" i="3"/>
  <c r="L125" i="3"/>
  <c r="L123" i="3" s="1"/>
  <c r="L126" i="3" s="1"/>
  <c r="N123" i="3"/>
  <c r="N126" i="3" s="1"/>
  <c r="Q117" i="3"/>
  <c r="P117" i="3"/>
  <c r="O117" i="3"/>
  <c r="N117" i="3"/>
  <c r="L117" i="3"/>
  <c r="K117" i="3"/>
  <c r="J117" i="3"/>
  <c r="M117" i="3" s="1"/>
  <c r="I117" i="3"/>
  <c r="Q109" i="3"/>
  <c r="Q113" i="3"/>
  <c r="P109" i="3"/>
  <c r="P113" i="3" s="1"/>
  <c r="P114" i="3" s="1"/>
  <c r="O109" i="3"/>
  <c r="O113" i="3"/>
  <c r="N109" i="3"/>
  <c r="L109" i="3"/>
  <c r="L113" i="3"/>
  <c r="K109" i="3"/>
  <c r="K113" i="3" s="1"/>
  <c r="J109" i="3"/>
  <c r="J113" i="3"/>
  <c r="I109" i="3"/>
  <c r="I113" i="3" s="1"/>
  <c r="I114" i="3" s="1"/>
  <c r="Q102" i="3"/>
  <c r="P102" i="3"/>
  <c r="O102" i="3"/>
  <c r="N102" i="3"/>
  <c r="L102" i="3"/>
  <c r="K102" i="3"/>
  <c r="J102" i="3"/>
  <c r="I102" i="3"/>
  <c r="V101" i="3"/>
  <c r="U101" i="3"/>
  <c r="T101" i="3"/>
  <c r="S100" i="3"/>
  <c r="Q100" i="3"/>
  <c r="P100" i="3"/>
  <c r="O100" i="3"/>
  <c r="N100" i="3"/>
  <c r="L100" i="3"/>
  <c r="K100" i="3"/>
  <c r="J100" i="3"/>
  <c r="I100" i="3"/>
  <c r="S99" i="3"/>
  <c r="Q99" i="3"/>
  <c r="P99" i="3"/>
  <c r="O99" i="3"/>
  <c r="N99" i="3"/>
  <c r="N95" i="3"/>
  <c r="N96" i="3"/>
  <c r="L95" i="3"/>
  <c r="L96" i="3"/>
  <c r="K95" i="3"/>
  <c r="K96" i="3"/>
  <c r="J95" i="3"/>
  <c r="J96" i="3"/>
  <c r="I95" i="3"/>
  <c r="I96" i="3" s="1"/>
  <c r="G95" i="3"/>
  <c r="F95" i="3"/>
  <c r="E95" i="3"/>
  <c r="Q94" i="3"/>
  <c r="P94" i="3"/>
  <c r="O94" i="3"/>
  <c r="R94" i="3" s="1"/>
  <c r="N94" i="3"/>
  <c r="L94" i="3"/>
  <c r="K94" i="3"/>
  <c r="J94" i="3"/>
  <c r="J101" i="3" s="1"/>
  <c r="I94" i="3"/>
  <c r="G94" i="3"/>
  <c r="F94" i="3"/>
  <c r="E94" i="3"/>
  <c r="Q83" i="3"/>
  <c r="P83" i="3"/>
  <c r="O83" i="3"/>
  <c r="N83" i="3"/>
  <c r="N101" i="3" s="1"/>
  <c r="L83" i="3"/>
  <c r="K83" i="3"/>
  <c r="J83" i="3"/>
  <c r="I83" i="3"/>
  <c r="Q76" i="3"/>
  <c r="Q79" i="3" s="1"/>
  <c r="I76" i="3"/>
  <c r="I79" i="3"/>
  <c r="J76" i="3"/>
  <c r="J79" i="3" s="1"/>
  <c r="K76" i="3"/>
  <c r="K79" i="3"/>
  <c r="K80" i="3" s="1"/>
  <c r="L76" i="3"/>
  <c r="L79" i="3" s="1"/>
  <c r="O76" i="3"/>
  <c r="O79" i="3"/>
  <c r="P76" i="3"/>
  <c r="P79" i="3" s="1"/>
  <c r="P80" i="3" s="1"/>
  <c r="N76" i="3"/>
  <c r="N79" i="3"/>
  <c r="N80" i="3" s="1"/>
  <c r="I69" i="3"/>
  <c r="J67" i="3"/>
  <c r="K67" i="3"/>
  <c r="L67" i="3"/>
  <c r="N67" i="3"/>
  <c r="O67" i="3"/>
  <c r="P67" i="3"/>
  <c r="Q67" i="3"/>
  <c r="S67" i="3"/>
  <c r="U68" i="3"/>
  <c r="V68" i="3"/>
  <c r="J69" i="3"/>
  <c r="K69" i="3"/>
  <c r="L69" i="3"/>
  <c r="N69" i="3"/>
  <c r="O69" i="3"/>
  <c r="P69" i="3"/>
  <c r="Q69" i="3"/>
  <c r="I67" i="3"/>
  <c r="S66" i="3"/>
  <c r="O66" i="3"/>
  <c r="P66" i="3"/>
  <c r="Q66" i="3"/>
  <c r="N66" i="3"/>
  <c r="L62" i="3"/>
  <c r="L63" i="3" s="1"/>
  <c r="K62" i="3"/>
  <c r="K63" i="3"/>
  <c r="J62" i="3"/>
  <c r="J63" i="3" s="1"/>
  <c r="I62" i="3"/>
  <c r="I63" i="3"/>
  <c r="N62" i="3"/>
  <c r="N63" i="3" s="1"/>
  <c r="Q61" i="3"/>
  <c r="Q68" i="3" s="1"/>
  <c r="P61" i="3"/>
  <c r="R61" i="3" s="1"/>
  <c r="O61" i="3"/>
  <c r="N61" i="3"/>
  <c r="L61" i="3"/>
  <c r="K61" i="3"/>
  <c r="J61" i="3"/>
  <c r="I61" i="3"/>
  <c r="L58" i="3"/>
  <c r="Q50" i="3"/>
  <c r="P50" i="3"/>
  <c r="O50" i="3"/>
  <c r="N50" i="3"/>
  <c r="N68" i="3" s="1"/>
  <c r="L50" i="3"/>
  <c r="K50" i="3"/>
  <c r="J50" i="3"/>
  <c r="I50" i="3"/>
  <c r="M50" i="3" s="1"/>
  <c r="S144" i="3"/>
  <c r="W117" i="3"/>
  <c r="N77" i="3"/>
  <c r="N78" i="3" s="1"/>
  <c r="S185" i="3"/>
  <c r="U182" i="3"/>
  <c r="I185" i="3"/>
  <c r="Q213" i="3"/>
  <c r="N213" i="3"/>
  <c r="O27" i="3"/>
  <c r="R27" i="3" s="1"/>
  <c r="R28" i="3" s="1"/>
  <c r="K92" i="3"/>
  <c r="N92" i="3"/>
  <c r="I126" i="3"/>
  <c r="L92" i="3"/>
  <c r="J92" i="3"/>
  <c r="AB44" i="3"/>
  <c r="N177" i="3"/>
  <c r="J177" i="3"/>
  <c r="Q177" i="3"/>
  <c r="I177" i="3"/>
  <c r="P177" i="3"/>
  <c r="L177" i="3"/>
  <c r="Q92" i="3"/>
  <c r="Q159" i="3"/>
  <c r="Q160" i="3"/>
  <c r="L159" i="3"/>
  <c r="L160" i="3"/>
  <c r="P159" i="3"/>
  <c r="P160" i="3"/>
  <c r="K159" i="3"/>
  <c r="K160" i="3" s="1"/>
  <c r="N159" i="3"/>
  <c r="I159" i="3"/>
  <c r="I111" i="3"/>
  <c r="I112" i="3" s="1"/>
  <c r="S111" i="3"/>
  <c r="S112" i="3"/>
  <c r="Q144" i="3"/>
  <c r="Q145" i="3" s="1"/>
  <c r="Q111" i="3"/>
  <c r="Q112" i="3"/>
  <c r="P144" i="3"/>
  <c r="P145" i="3" s="1"/>
  <c r="O101" i="3"/>
  <c r="I80" i="3"/>
  <c r="S145" i="3"/>
  <c r="N144" i="3"/>
  <c r="Q80" i="3"/>
  <c r="O92" i="3"/>
  <c r="L80" i="3"/>
  <c r="P92" i="3"/>
  <c r="N147" i="3"/>
  <c r="J126" i="3"/>
  <c r="I147" i="3"/>
  <c r="L144" i="3"/>
  <c r="L145" i="3" s="1"/>
  <c r="K144" i="3"/>
  <c r="K145" i="3" s="1"/>
  <c r="I144" i="3"/>
  <c r="P111" i="3"/>
  <c r="L111" i="3"/>
  <c r="L183" i="3" s="1"/>
  <c r="J111" i="3"/>
  <c r="Q135" i="3"/>
  <c r="O126" i="3"/>
  <c r="P126" i="3"/>
  <c r="N135" i="3"/>
  <c r="I135" i="3"/>
  <c r="S135" i="3"/>
  <c r="J135" i="3"/>
  <c r="R128" i="3"/>
  <c r="T134" i="3"/>
  <c r="L135" i="3"/>
  <c r="P135" i="3"/>
  <c r="Q77" i="3"/>
  <c r="Q78" i="3"/>
  <c r="P101" i="3"/>
  <c r="P77" i="3"/>
  <c r="P78" i="3"/>
  <c r="O77" i="3"/>
  <c r="L114" i="3"/>
  <c r="Q114" i="3"/>
  <c r="J114" i="3"/>
  <c r="K101" i="3"/>
  <c r="Q101" i="3"/>
  <c r="M94" i="3"/>
  <c r="S101" i="3"/>
  <c r="T100" i="3"/>
  <c r="L101" i="3"/>
  <c r="L77" i="3"/>
  <c r="L78" i="3"/>
  <c r="K77" i="3"/>
  <c r="S77" i="3"/>
  <c r="J68" i="3"/>
  <c r="O68" i="3"/>
  <c r="I77" i="3"/>
  <c r="I78" i="3" s="1"/>
  <c r="L68" i="3"/>
  <c r="K68" i="3"/>
  <c r="P68" i="3"/>
  <c r="S68" i="3"/>
  <c r="M61" i="3"/>
  <c r="I59" i="3"/>
  <c r="P59" i="3"/>
  <c r="K59" i="3"/>
  <c r="U67" i="3"/>
  <c r="O59" i="3"/>
  <c r="J59" i="3"/>
  <c r="N59" i="3"/>
  <c r="S59" i="3"/>
  <c r="Q59" i="3"/>
  <c r="P188" i="3"/>
  <c r="O188" i="3"/>
  <c r="J188" i="3"/>
  <c r="I160" i="3"/>
  <c r="N160" i="3"/>
  <c r="N145" i="3"/>
  <c r="X68" i="3"/>
  <c r="V182" i="3"/>
  <c r="P213" i="3"/>
  <c r="D28" i="3"/>
  <c r="D186" i="3"/>
  <c r="R18" i="3"/>
  <c r="T180" i="3"/>
  <c r="Q28" i="3"/>
  <c r="N28" i="3"/>
  <c r="I28" i="3"/>
  <c r="I38" i="3" s="1"/>
  <c r="I183" i="3"/>
  <c r="S78" i="3"/>
  <c r="U134" i="3"/>
  <c r="M68" i="3"/>
  <c r="S92" i="3"/>
  <c r="U100" i="3"/>
  <c r="T181" i="3"/>
  <c r="Y68" i="3"/>
  <c r="X182" i="3"/>
  <c r="I188" i="3"/>
  <c r="N38" i="3"/>
  <c r="N43" i="3" s="1"/>
  <c r="N187" i="3"/>
  <c r="D188" i="3"/>
  <c r="N188" i="3"/>
  <c r="L188" i="3"/>
  <c r="P38" i="3"/>
  <c r="P43" i="3"/>
  <c r="P187" i="3"/>
  <c r="Q38" i="3"/>
  <c r="Q43" i="3" s="1"/>
  <c r="Q187" i="3"/>
  <c r="D38" i="3"/>
  <c r="D43" i="3" s="1"/>
  <c r="D187" i="3"/>
  <c r="I43" i="3"/>
  <c r="I187" i="3"/>
  <c r="Q188" i="3"/>
  <c r="E41" i="3"/>
  <c r="E188" i="3"/>
  <c r="R188" i="3"/>
  <c r="L42" i="3"/>
  <c r="J42" i="3"/>
  <c r="O36" i="3"/>
  <c r="P36" i="3"/>
  <c r="P42" i="3" s="1"/>
  <c r="U92" i="3"/>
  <c r="V100" i="3"/>
  <c r="V67" i="3"/>
  <c r="Z68" i="3"/>
  <c r="Q36" i="3"/>
  <c r="Q41" i="3"/>
  <c r="I41" i="3"/>
  <c r="I42" i="3"/>
  <c r="L41" i="3"/>
  <c r="E42" i="3"/>
  <c r="Y182" i="3"/>
  <c r="J41" i="3"/>
  <c r="N36" i="3"/>
  <c r="R36" i="3"/>
  <c r="R42" i="3"/>
  <c r="P41" i="3"/>
  <c r="D41" i="3"/>
  <c r="D42" i="3"/>
  <c r="T92" i="3"/>
  <c r="T126" i="3"/>
  <c r="U91" i="3"/>
  <c r="V92" i="3"/>
  <c r="V91" i="3"/>
  <c r="W149" i="3"/>
  <c r="AB61" i="3"/>
  <c r="Q42" i="3"/>
  <c r="Z182" i="3"/>
  <c r="N41" i="3"/>
  <c r="X92" i="3"/>
  <c r="N18" i="3"/>
  <c r="O18" i="3"/>
  <c r="P18" i="3"/>
  <c r="Q18" i="3"/>
  <c r="H18" i="3"/>
  <c r="I18" i="3"/>
  <c r="J18" i="3"/>
  <c r="K18" i="3"/>
  <c r="L18" i="3"/>
  <c r="G18" i="3"/>
  <c r="D18" i="3"/>
  <c r="E18" i="3"/>
  <c r="F18" i="3"/>
  <c r="N194" i="3"/>
  <c r="I194" i="3"/>
  <c r="I191" i="3" s="1"/>
  <c r="K194" i="3"/>
  <c r="L194" i="3"/>
  <c r="L191" i="3" s="1"/>
  <c r="W193" i="3"/>
  <c r="O185" i="3"/>
  <c r="N185" i="3"/>
  <c r="L185" i="3"/>
  <c r="K185" i="3"/>
  <c r="P185" i="3"/>
  <c r="J185" i="3"/>
  <c r="Q185" i="3"/>
  <c r="N190" i="3"/>
  <c r="R194" i="3"/>
  <c r="K191" i="3"/>
  <c r="K190" i="3"/>
  <c r="L190" i="3"/>
  <c r="W194" i="3"/>
  <c r="O186" i="3"/>
  <c r="E186" i="3"/>
  <c r="M193" i="3"/>
  <c r="J194" i="3"/>
  <c r="P186" i="3"/>
  <c r="N191" i="3"/>
  <c r="I186" i="3"/>
  <c r="K186" i="3"/>
  <c r="Q186" i="3"/>
  <c r="L186" i="3"/>
  <c r="J186" i="3"/>
  <c r="AB193" i="3"/>
  <c r="R186" i="3"/>
  <c r="T176" i="3"/>
  <c r="T177" i="3" s="1"/>
  <c r="T111" i="3"/>
  <c r="T144" i="3"/>
  <c r="T145" i="3" s="1"/>
  <c r="S18" i="3"/>
  <c r="T112" i="3"/>
  <c r="S186" i="3"/>
  <c r="T185" i="3"/>
  <c r="U176" i="3"/>
  <c r="T159" i="3"/>
  <c r="T18" i="3"/>
  <c r="T187" i="3"/>
  <c r="T186" i="3"/>
  <c r="T160" i="3"/>
  <c r="T42" i="3"/>
  <c r="T41" i="3"/>
  <c r="Z21" i="3"/>
  <c r="AA21" i="3"/>
  <c r="AB30" i="3"/>
  <c r="T179" i="3"/>
  <c r="T59" i="3"/>
  <c r="T77" i="3"/>
  <c r="T78" i="3"/>
  <c r="V176" i="3"/>
  <c r="X176" i="3"/>
  <c r="Y176" i="3"/>
  <c r="Z176" i="3"/>
  <c r="AA176" i="3"/>
  <c r="Y92" i="3"/>
  <c r="AA88" i="3"/>
  <c r="AA85" i="3"/>
  <c r="AA90" i="3" s="1"/>
  <c r="AA52" i="3"/>
  <c r="Y52" i="3"/>
  <c r="X52" i="3"/>
  <c r="U57" i="3"/>
  <c r="U59" i="3" s="1"/>
  <c r="AA92" i="3"/>
  <c r="Z52" i="3"/>
  <c r="U58" i="3"/>
  <c r="T183" i="3" l="1"/>
  <c r="I190" i="3"/>
  <c r="O78" i="3"/>
  <c r="R77" i="3"/>
  <c r="I145" i="3"/>
  <c r="J147" i="3"/>
  <c r="R41" i="3"/>
  <c r="O28" i="3"/>
  <c r="J112" i="3"/>
  <c r="O42" i="3"/>
  <c r="O41" i="3"/>
  <c r="R38" i="3"/>
  <c r="R43" i="3" s="1"/>
  <c r="R187" i="3"/>
  <c r="M194" i="3"/>
  <c r="J190" i="3"/>
  <c r="J191" i="3"/>
  <c r="N42" i="3"/>
  <c r="R39" i="3"/>
  <c r="K111" i="3"/>
  <c r="K112" i="3" s="1"/>
  <c r="M102" i="3"/>
  <c r="K114" i="3"/>
  <c r="N113" i="3"/>
  <c r="N114" i="3" s="1"/>
  <c r="N111" i="3"/>
  <c r="J161" i="3"/>
  <c r="J162" i="3" s="1"/>
  <c r="J159" i="3"/>
  <c r="S160" i="3"/>
  <c r="S183" i="3"/>
  <c r="O144" i="3"/>
  <c r="R136" i="3"/>
  <c r="M136" i="3"/>
  <c r="J144" i="3"/>
  <c r="J145" i="3" s="1"/>
  <c r="E28" i="3"/>
  <c r="Q183" i="3"/>
  <c r="M77" i="3"/>
  <c r="M78" i="3" s="1"/>
  <c r="R83" i="3"/>
  <c r="R101" i="3" s="1"/>
  <c r="M128" i="3"/>
  <c r="M135" i="3" s="1"/>
  <c r="L112" i="3"/>
  <c r="O80" i="3"/>
  <c r="O161" i="3"/>
  <c r="O162" i="3" s="1"/>
  <c r="O159" i="3"/>
  <c r="J213" i="3"/>
  <c r="J27" i="3"/>
  <c r="AA110" i="3"/>
  <c r="Z194" i="3"/>
  <c r="AA192" i="3"/>
  <c r="AA194" i="3" s="1"/>
  <c r="T190" i="3"/>
  <c r="T191" i="3"/>
  <c r="M69" i="3"/>
  <c r="J77" i="3"/>
  <c r="R80" i="3"/>
  <c r="J80" i="3"/>
  <c r="M83" i="3"/>
  <c r="M101" i="3" s="1"/>
  <c r="I101" i="3"/>
  <c r="K213" i="3"/>
  <c r="K27" i="3"/>
  <c r="K28" i="3" s="1"/>
  <c r="L27" i="3"/>
  <c r="L28" i="3" s="1"/>
  <c r="L213" i="3"/>
  <c r="G27" i="3"/>
  <c r="H27" i="3" s="1"/>
  <c r="G213" i="3"/>
  <c r="S213" i="3"/>
  <c r="S27" i="3"/>
  <c r="Z117" i="3"/>
  <c r="Z135" i="3" s="1"/>
  <c r="X135" i="3"/>
  <c r="Y117" i="3"/>
  <c r="O190" i="3"/>
  <c r="O191" i="3"/>
  <c r="K34" i="3"/>
  <c r="K36" i="3" s="1"/>
  <c r="K188" i="3"/>
  <c r="K78" i="3"/>
  <c r="K183" i="3"/>
  <c r="P112" i="3"/>
  <c r="P183" i="3"/>
  <c r="R69" i="3"/>
  <c r="R102" i="3"/>
  <c r="O111" i="3"/>
  <c r="O112" i="3" s="1"/>
  <c r="O114" i="3"/>
  <c r="X114" i="3" s="1"/>
  <c r="R117" i="3"/>
  <c r="R135" i="3" s="1"/>
  <c r="O135" i="3"/>
  <c r="W83" i="3"/>
  <c r="X83" i="3"/>
  <c r="U153" i="3"/>
  <c r="U156" i="3"/>
  <c r="U151" i="3"/>
  <c r="U155" i="3"/>
  <c r="Z149" i="3"/>
  <c r="U152" i="3"/>
  <c r="U168" i="3"/>
  <c r="V169" i="3"/>
  <c r="S188" i="3"/>
  <c r="S34" i="3"/>
  <c r="S36" i="3" s="1"/>
  <c r="R50" i="3"/>
  <c r="R68" i="3" s="1"/>
  <c r="I68" i="3"/>
  <c r="F213" i="3"/>
  <c r="T38" i="3"/>
  <c r="T43" i="3" s="1"/>
  <c r="AA50" i="3"/>
  <c r="AA51" i="3"/>
  <c r="X49" i="3"/>
  <c r="Y49" i="3" s="1"/>
  <c r="Z49" i="3" s="1"/>
  <c r="AA49" i="3" s="1"/>
  <c r="Z90" i="3"/>
  <c r="V40" i="3"/>
  <c r="X40" i="3" s="1"/>
  <c r="Y40" i="3" s="1"/>
  <c r="Z40" i="3" s="1"/>
  <c r="AA40" i="3" s="1"/>
  <c r="X188" i="3"/>
  <c r="Y188" i="3" s="1"/>
  <c r="Z188" i="3" s="1"/>
  <c r="AA188" i="3" s="1"/>
  <c r="Y94" i="3"/>
  <c r="Z94" i="3"/>
  <c r="U64" i="3"/>
  <c r="Z119" i="3"/>
  <c r="V57" i="3"/>
  <c r="X56" i="3"/>
  <c r="Y56" i="3" s="1"/>
  <c r="Z56" i="3" s="1"/>
  <c r="H24" i="3"/>
  <c r="H26" i="3" s="1"/>
  <c r="AA127" i="3"/>
  <c r="W101" i="3"/>
  <c r="Z35" i="3"/>
  <c r="AA35" i="3" s="1"/>
  <c r="X119" i="3"/>
  <c r="X57" i="3"/>
  <c r="P190" i="3"/>
  <c r="V116" i="3"/>
  <c r="X60" i="3"/>
  <c r="Y119" i="3"/>
  <c r="V39" i="3"/>
  <c r="X39" i="3" s="1"/>
  <c r="Y39" i="3" s="1"/>
  <c r="Z39" i="3" s="1"/>
  <c r="AA39" i="3" s="1"/>
  <c r="V95" i="3"/>
  <c r="V97" i="3" s="1"/>
  <c r="X93" i="3"/>
  <c r="U167" i="3"/>
  <c r="S123" i="3"/>
  <c r="Y131" i="3"/>
  <c r="U132" i="3"/>
  <c r="V133" i="3"/>
  <c r="U131" i="3"/>
  <c r="U97" i="3"/>
  <c r="U102" i="3" s="1"/>
  <c r="M16" i="3"/>
  <c r="G24" i="3"/>
  <c r="G26" i="3" s="1"/>
  <c r="F26" i="3"/>
  <c r="V102" i="3"/>
  <c r="W68" i="3"/>
  <c r="H32" i="3" l="1"/>
  <c r="H186" i="3"/>
  <c r="H28" i="3"/>
  <c r="O187" i="3"/>
  <c r="O38" i="3"/>
  <c r="O43" i="3" s="1"/>
  <c r="W102" i="3"/>
  <c r="U108" i="3"/>
  <c r="V108" i="3" s="1"/>
  <c r="U104" i="3"/>
  <c r="V104" i="3" s="1"/>
  <c r="U105" i="3"/>
  <c r="V105" i="3" s="1"/>
  <c r="U107" i="3"/>
  <c r="U103" i="3"/>
  <c r="U109" i="3" s="1"/>
  <c r="U113" i="3" s="1"/>
  <c r="V107" i="3" s="1"/>
  <c r="U123" i="3"/>
  <c r="S126" i="3"/>
  <c r="X116" i="3"/>
  <c r="AA118" i="3"/>
  <c r="V134" i="3"/>
  <c r="X58" i="3"/>
  <c r="X59" i="3"/>
  <c r="AB35" i="3"/>
  <c r="AA129" i="3"/>
  <c r="AA131" i="3" s="1"/>
  <c r="S42" i="3"/>
  <c r="S41" i="3"/>
  <c r="X82" i="3"/>
  <c r="Y83" i="3"/>
  <c r="Y101" i="3" s="1"/>
  <c r="X101" i="3"/>
  <c r="Y135" i="3"/>
  <c r="S28" i="3"/>
  <c r="J78" i="3"/>
  <c r="J183" i="3"/>
  <c r="R111" i="3"/>
  <c r="R112" i="3" s="1"/>
  <c r="N183" i="3"/>
  <c r="N112" i="3"/>
  <c r="Y57" i="3"/>
  <c r="M26" i="3"/>
  <c r="M18" i="3"/>
  <c r="R185" i="3"/>
  <c r="M185" i="3"/>
  <c r="V59" i="3"/>
  <c r="V58" i="3"/>
  <c r="V69" i="3"/>
  <c r="AB149" i="3"/>
  <c r="F32" i="3"/>
  <c r="F28" i="3"/>
  <c r="F186" i="3"/>
  <c r="V167" i="3"/>
  <c r="U166" i="3"/>
  <c r="U14" i="3" s="1"/>
  <c r="U69" i="3"/>
  <c r="U157" i="3"/>
  <c r="K41" i="3"/>
  <c r="K42" i="3"/>
  <c r="L38" i="3"/>
  <c r="L43" i="3" s="1"/>
  <c r="L187" i="3"/>
  <c r="AB194" i="3"/>
  <c r="O160" i="3"/>
  <c r="R159" i="3"/>
  <c r="R160" i="3" s="1"/>
  <c r="E38" i="3"/>
  <c r="E43" i="3" s="1"/>
  <c r="E187" i="3"/>
  <c r="M111" i="3"/>
  <c r="M112" i="3" s="1"/>
  <c r="R78" i="3"/>
  <c r="V132" i="3"/>
  <c r="X133" i="3"/>
  <c r="Y60" i="3"/>
  <c r="X62" i="3"/>
  <c r="X64" i="3" s="1"/>
  <c r="X67" i="3"/>
  <c r="Z92" i="3"/>
  <c r="M27" i="3"/>
  <c r="J28" i="3"/>
  <c r="W57" i="3"/>
  <c r="M144" i="3"/>
  <c r="M145" i="3" s="1"/>
  <c r="G32" i="3"/>
  <c r="G186" i="3"/>
  <c r="G28" i="3"/>
  <c r="U15" i="3"/>
  <c r="Y93" i="3"/>
  <c r="X95" i="3"/>
  <c r="X97" i="3" s="1"/>
  <c r="X102" i="3" s="1"/>
  <c r="X100" i="3"/>
  <c r="AA56" i="3"/>
  <c r="AA57" i="3" s="1"/>
  <c r="Z57" i="3"/>
  <c r="AA94" i="3"/>
  <c r="AB94" i="3" s="1"/>
  <c r="AB50" i="3"/>
  <c r="AB68" i="3" s="1"/>
  <c r="AA68" i="3"/>
  <c r="V168" i="3"/>
  <c r="X169" i="3"/>
  <c r="AA117" i="3"/>
  <c r="AA135" i="3" s="1"/>
  <c r="K38" i="3"/>
  <c r="K43" i="3" s="1"/>
  <c r="K187" i="3"/>
  <c r="AA25" i="3"/>
  <c r="AB25" i="3" s="1"/>
  <c r="R144" i="3"/>
  <c r="R145" i="3" s="1"/>
  <c r="O145" i="3"/>
  <c r="J160" i="3"/>
  <c r="M159" i="3"/>
  <c r="M160" i="3" s="1"/>
  <c r="O183" i="3"/>
  <c r="U180" i="3" l="1"/>
  <c r="AA58" i="3"/>
  <c r="AA59" i="3"/>
  <c r="X168" i="3"/>
  <c r="Y169" i="3"/>
  <c r="Z60" i="3"/>
  <c r="Y62" i="3"/>
  <c r="Y64" i="3" s="1"/>
  <c r="Y67" i="3"/>
  <c r="Y95" i="3"/>
  <c r="Y97" i="3" s="1"/>
  <c r="Y102" i="3" s="1"/>
  <c r="Y100" i="3"/>
  <c r="Z93" i="3"/>
  <c r="G34" i="3"/>
  <c r="G36" i="3" s="1"/>
  <c r="G188" i="3"/>
  <c r="X132" i="3"/>
  <c r="Y133" i="3"/>
  <c r="U74" i="3"/>
  <c r="U71" i="3"/>
  <c r="U72" i="3"/>
  <c r="W69" i="3"/>
  <c r="U75" i="3"/>
  <c r="U70" i="3"/>
  <c r="M32" i="3"/>
  <c r="M28" i="3"/>
  <c r="M186" i="3"/>
  <c r="S38" i="3"/>
  <c r="S43" i="3" s="1"/>
  <c r="S187" i="3"/>
  <c r="Z83" i="3"/>
  <c r="Z101" i="3" s="1"/>
  <c r="Y82" i="3"/>
  <c r="X91" i="3"/>
  <c r="V166" i="3"/>
  <c r="X167" i="3"/>
  <c r="V123" i="3"/>
  <c r="U124" i="3"/>
  <c r="H38" i="3"/>
  <c r="H187" i="3"/>
  <c r="Z59" i="3"/>
  <c r="Z58" i="3"/>
  <c r="V15" i="3"/>
  <c r="V181" i="3" s="1"/>
  <c r="U161" i="3"/>
  <c r="U159" i="3"/>
  <c r="F187" i="3"/>
  <c r="F38" i="3"/>
  <c r="F43" i="3" s="1"/>
  <c r="Y58" i="3"/>
  <c r="Y59" i="3"/>
  <c r="AB57" i="3"/>
  <c r="Y116" i="3"/>
  <c r="X134" i="3"/>
  <c r="U181" i="3"/>
  <c r="H34" i="3"/>
  <c r="H36" i="3" s="1"/>
  <c r="H188" i="3"/>
  <c r="J187" i="3"/>
  <c r="J38" i="3"/>
  <c r="J43" i="3" s="1"/>
  <c r="AA182" i="3"/>
  <c r="G187" i="3"/>
  <c r="G38" i="3"/>
  <c r="G43" i="3" s="1"/>
  <c r="X69" i="3"/>
  <c r="U177" i="3"/>
  <c r="F188" i="3"/>
  <c r="F34" i="3"/>
  <c r="F36" i="3" s="1"/>
  <c r="AB117" i="3"/>
  <c r="AB135" i="3" s="1"/>
  <c r="AA83" i="3"/>
  <c r="AA101" i="3" s="1"/>
  <c r="U111" i="3"/>
  <c r="V103" i="3"/>
  <c r="V109" i="3" s="1"/>
  <c r="U160" i="3" l="1"/>
  <c r="AA93" i="3"/>
  <c r="Z100" i="3"/>
  <c r="Z95" i="3"/>
  <c r="Z97" i="3" s="1"/>
  <c r="Z102" i="3" s="1"/>
  <c r="V156" i="3"/>
  <c r="V152" i="3"/>
  <c r="V151" i="3"/>
  <c r="V155" i="3"/>
  <c r="V153" i="3"/>
  <c r="U125" i="3"/>
  <c r="U126" i="3"/>
  <c r="U13" i="3"/>
  <c r="U136" i="3"/>
  <c r="U76" i="3"/>
  <c r="X15" i="3"/>
  <c r="Y69" i="3"/>
  <c r="V113" i="3"/>
  <c r="V111" i="3"/>
  <c r="V112" i="3" s="1"/>
  <c r="Z116" i="3"/>
  <c r="Y134" i="3"/>
  <c r="M34" i="3"/>
  <c r="M36" i="3" s="1"/>
  <c r="M188" i="3"/>
  <c r="H41" i="3"/>
  <c r="H39" i="3"/>
  <c r="H40" i="3"/>
  <c r="H43" i="3" s="1"/>
  <c r="F42" i="3"/>
  <c r="F41" i="3"/>
  <c r="W15" i="3"/>
  <c r="X123" i="3"/>
  <c r="V124" i="3"/>
  <c r="Z82" i="3"/>
  <c r="Y91" i="3"/>
  <c r="AA60" i="3"/>
  <c r="Z62" i="3"/>
  <c r="Z64" i="3" s="1"/>
  <c r="Z67" i="3"/>
  <c r="V177" i="3"/>
  <c r="V180" i="3"/>
  <c r="V14" i="3"/>
  <c r="W14" i="3" s="1"/>
  <c r="Y132" i="3"/>
  <c r="Z133" i="3"/>
  <c r="U112" i="3"/>
  <c r="W111" i="3"/>
  <c r="W112" i="3" s="1"/>
  <c r="X166" i="3"/>
  <c r="Y167" i="3"/>
  <c r="X103" i="3"/>
  <c r="M38" i="3"/>
  <c r="M187" i="3"/>
  <c r="G42" i="3"/>
  <c r="G41" i="3"/>
  <c r="AB83" i="3"/>
  <c r="AB101" i="3" s="1"/>
  <c r="Y168" i="3"/>
  <c r="Z169" i="3"/>
  <c r="AA169" i="3" l="1"/>
  <c r="AA168" i="3" s="1"/>
  <c r="Z168" i="3"/>
  <c r="AA133" i="3"/>
  <c r="AA132" i="3" s="1"/>
  <c r="Z132" i="3"/>
  <c r="AA62" i="3"/>
  <c r="AA64" i="3" s="1"/>
  <c r="AA67" i="3"/>
  <c r="Y123" i="3"/>
  <c r="X124" i="3"/>
  <c r="AA116" i="3"/>
  <c r="AA134" i="3" s="1"/>
  <c r="Z134" i="3"/>
  <c r="U141" i="3"/>
  <c r="U22" i="3" s="1"/>
  <c r="U137" i="3"/>
  <c r="U142" i="3"/>
  <c r="U23" i="3" s="1"/>
  <c r="U138" i="3"/>
  <c r="U19" i="3" s="1"/>
  <c r="U139" i="3"/>
  <c r="U20" i="3" s="1"/>
  <c r="AA95" i="3"/>
  <c r="AA97" i="3" s="1"/>
  <c r="AA102" i="3" s="1"/>
  <c r="V126" i="3"/>
  <c r="V125" i="3"/>
  <c r="V13" i="3"/>
  <c r="V16" i="3" s="1"/>
  <c r="V136" i="3"/>
  <c r="W136" i="3" s="1"/>
  <c r="V157" i="3"/>
  <c r="Z167" i="3"/>
  <c r="Y166" i="3"/>
  <c r="Y15" i="3"/>
  <c r="Y181" i="3"/>
  <c r="M41" i="3"/>
  <c r="M39" i="3"/>
  <c r="M40" i="3"/>
  <c r="M42" i="3" s="1"/>
  <c r="U16" i="3"/>
  <c r="W13" i="3"/>
  <c r="W16" i="3" s="1"/>
  <c r="Z69" i="3"/>
  <c r="U79" i="3"/>
  <c r="U77" i="3"/>
  <c r="X177" i="3"/>
  <c r="X14" i="3"/>
  <c r="AA82" i="3"/>
  <c r="AA91" i="3" s="1"/>
  <c r="Z91" i="3"/>
  <c r="H42" i="3"/>
  <c r="X107" i="3"/>
  <c r="X105" i="3"/>
  <c r="X108" i="3"/>
  <c r="X104" i="3"/>
  <c r="X181" i="3"/>
  <c r="U179" i="3"/>
  <c r="AB102" i="3"/>
  <c r="X109" i="3" l="1"/>
  <c r="X113" i="3" s="1"/>
  <c r="U78" i="3"/>
  <c r="W185" i="3"/>
  <c r="AA167" i="3"/>
  <c r="AA166" i="3" s="1"/>
  <c r="AA177" i="3" s="1"/>
  <c r="Z166" i="3"/>
  <c r="V185" i="3"/>
  <c r="AA100" i="3"/>
  <c r="U143" i="3"/>
  <c r="U17" i="3"/>
  <c r="Y177" i="3"/>
  <c r="Y180" i="3"/>
  <c r="Y14" i="3"/>
  <c r="AA15" i="3"/>
  <c r="AA181" i="3" s="1"/>
  <c r="V74" i="3"/>
  <c r="V72" i="3"/>
  <c r="V70" i="3"/>
  <c r="V75" i="3"/>
  <c r="V71" i="3"/>
  <c r="M43" i="3"/>
  <c r="U185" i="3"/>
  <c r="V179" i="3"/>
  <c r="X126" i="3"/>
  <c r="X125" i="3"/>
  <c r="X13" i="3"/>
  <c r="X179" i="3"/>
  <c r="X136" i="3"/>
  <c r="AA14" i="3"/>
  <c r="AA180" i="3"/>
  <c r="AA69" i="3"/>
  <c r="AB69" i="3" s="1"/>
  <c r="U196" i="3"/>
  <c r="U208" i="3" s="1"/>
  <c r="U210" i="3" s="1"/>
  <c r="X180" i="3"/>
  <c r="V161" i="3"/>
  <c r="V159" i="3"/>
  <c r="Z123" i="3"/>
  <c r="Y124" i="3"/>
  <c r="Z15" i="3"/>
  <c r="AB15" i="3" s="1"/>
  <c r="X111" i="3" l="1"/>
  <c r="Y103" i="3"/>
  <c r="Y107" i="3"/>
  <c r="Y108" i="3"/>
  <c r="Y104" i="3"/>
  <c r="Y105" i="3"/>
  <c r="X16" i="3"/>
  <c r="Z177" i="3"/>
  <c r="Z14" i="3"/>
  <c r="AB14" i="3" s="1"/>
  <c r="X112" i="3"/>
  <c r="X152" i="3"/>
  <c r="X156" i="3"/>
  <c r="X153" i="3"/>
  <c r="X151" i="3"/>
  <c r="X155" i="3"/>
  <c r="AA123" i="3"/>
  <c r="AA124" i="3" s="1"/>
  <c r="Z124" i="3"/>
  <c r="U24" i="3"/>
  <c r="U26" i="3" s="1"/>
  <c r="Y126" i="3"/>
  <c r="Y125" i="3"/>
  <c r="Y13" i="3"/>
  <c r="Y16" i="3" s="1"/>
  <c r="Y179" i="3"/>
  <c r="Y136" i="3"/>
  <c r="Z181" i="3"/>
  <c r="V160" i="3"/>
  <c r="W159" i="3"/>
  <c r="W160" i="3" s="1"/>
  <c r="U27" i="3"/>
  <c r="U212" i="3"/>
  <c r="U37" i="3" s="1"/>
  <c r="U18" i="3"/>
  <c r="V76" i="3"/>
  <c r="U146" i="3"/>
  <c r="U144" i="3"/>
  <c r="Y109" i="3" l="1"/>
  <c r="U145" i="3"/>
  <c r="U183" i="3"/>
  <c r="U32" i="3"/>
  <c r="U186" i="3"/>
  <c r="U28" i="3"/>
  <c r="Z126" i="3"/>
  <c r="Z125" i="3"/>
  <c r="Z13" i="3"/>
  <c r="Z16" i="3" s="1"/>
  <c r="Z179" i="3"/>
  <c r="Z136" i="3"/>
  <c r="X157" i="3"/>
  <c r="V137" i="3"/>
  <c r="V139" i="3"/>
  <c r="V138" i="3"/>
  <c r="V142" i="3"/>
  <c r="V141" i="3"/>
  <c r="V79" i="3"/>
  <c r="V77" i="3"/>
  <c r="AA125" i="3"/>
  <c r="AA126" i="3"/>
  <c r="AA13" i="3"/>
  <c r="AA16" i="3" s="1"/>
  <c r="AA136" i="3"/>
  <c r="Y185" i="3"/>
  <c r="Y113" i="3"/>
  <c r="Y111" i="3"/>
  <c r="Z180" i="3"/>
  <c r="X185" i="3"/>
  <c r="V78" i="3" l="1"/>
  <c r="W77" i="3"/>
  <c r="W78" i="3" s="1"/>
  <c r="AB136" i="3"/>
  <c r="Z108" i="3"/>
  <c r="Z107" i="3"/>
  <c r="Z104" i="3"/>
  <c r="Z105" i="3"/>
  <c r="Z103" i="3"/>
  <c r="V23" i="3"/>
  <c r="U33" i="3"/>
  <c r="AA185" i="3"/>
  <c r="AB13" i="3"/>
  <c r="AB16" i="3" s="1"/>
  <c r="AA179" i="3"/>
  <c r="X74" i="3"/>
  <c r="X75" i="3"/>
  <c r="X72" i="3"/>
  <c r="X71" i="3"/>
  <c r="X70" i="3"/>
  <c r="V20" i="3"/>
  <c r="W20" i="3" s="1"/>
  <c r="U187" i="3"/>
  <c r="V19" i="3"/>
  <c r="W19" i="3" s="1"/>
  <c r="Y112" i="3"/>
  <c r="V22" i="3"/>
  <c r="W22" i="3" s="1"/>
  <c r="V143" i="3"/>
  <c r="V17" i="3"/>
  <c r="X161" i="3"/>
  <c r="X159" i="3"/>
  <c r="Z185" i="3"/>
  <c r="V24" i="3" l="1"/>
  <c r="V26" i="3" s="1"/>
  <c r="V18" i="3"/>
  <c r="W17" i="3"/>
  <c r="X76" i="3"/>
  <c r="X160" i="3"/>
  <c r="V146" i="3"/>
  <c r="V144" i="3"/>
  <c r="U38" i="3"/>
  <c r="U43" i="3" s="1"/>
  <c r="V196" i="3"/>
  <c r="V208" i="3" s="1"/>
  <c r="V210" i="3" s="1"/>
  <c r="W23" i="3"/>
  <c r="Y156" i="3"/>
  <c r="Y153" i="3"/>
  <c r="Y151" i="3"/>
  <c r="Y155" i="3"/>
  <c r="Y152" i="3"/>
  <c r="AB185" i="3"/>
  <c r="U34" i="3"/>
  <c r="U36" i="3" s="1"/>
  <c r="Z109" i="3"/>
  <c r="X139" i="3" l="1"/>
  <c r="X141" i="3"/>
  <c r="X138" i="3"/>
  <c r="X142" i="3"/>
  <c r="X137" i="3"/>
  <c r="W24" i="3"/>
  <c r="W26" i="3" s="1"/>
  <c r="W18" i="3"/>
  <c r="V145" i="3"/>
  <c r="W144" i="3"/>
  <c r="W145" i="3" s="1"/>
  <c r="V183" i="3"/>
  <c r="U41" i="3"/>
  <c r="U42" i="3"/>
  <c r="Y157" i="3"/>
  <c r="V27" i="3"/>
  <c r="W27" i="3" s="1"/>
  <c r="V212" i="3"/>
  <c r="V37" i="3" s="1"/>
  <c r="W37" i="3" s="1"/>
  <c r="Z113" i="3"/>
  <c r="Z111" i="3"/>
  <c r="X79" i="3"/>
  <c r="X77" i="3"/>
  <c r="V32" i="3"/>
  <c r="V28" i="3"/>
  <c r="V186" i="3"/>
  <c r="AA108" i="3" l="1"/>
  <c r="AA105" i="3"/>
  <c r="AA104" i="3"/>
  <c r="AA107" i="3"/>
  <c r="AA103" i="3"/>
  <c r="X22" i="3"/>
  <c r="Y74" i="3"/>
  <c r="Y75" i="3"/>
  <c r="Y72" i="3"/>
  <c r="Y71" i="3"/>
  <c r="Y70" i="3"/>
  <c r="W32" i="3"/>
  <c r="W186" i="3"/>
  <c r="W28" i="3"/>
  <c r="V187" i="3"/>
  <c r="X143" i="3"/>
  <c r="X17" i="3"/>
  <c r="X20" i="3"/>
  <c r="X78" i="3"/>
  <c r="Y161" i="3"/>
  <c r="Y159" i="3"/>
  <c r="X19" i="3"/>
  <c r="V34" i="3"/>
  <c r="V36" i="3" s="1"/>
  <c r="V33" i="3"/>
  <c r="W33" i="3" s="1"/>
  <c r="W188" i="3" s="1"/>
  <c r="Z112" i="3"/>
  <c r="X23" i="3"/>
  <c r="X196" i="3" l="1"/>
  <c r="X208" i="3" s="1"/>
  <c r="X210" i="3" s="1"/>
  <c r="Y160" i="3"/>
  <c r="W187" i="3"/>
  <c r="W38" i="3"/>
  <c r="Y76" i="3"/>
  <c r="V42" i="3"/>
  <c r="V41" i="3"/>
  <c r="Z156" i="3"/>
  <c r="Z152" i="3"/>
  <c r="Z155" i="3"/>
  <c r="Z151" i="3"/>
  <c r="Z153" i="3"/>
  <c r="X146" i="3"/>
  <c r="X144" i="3"/>
  <c r="X24" i="3"/>
  <c r="X26" i="3" s="1"/>
  <c r="X18" i="3"/>
  <c r="V38" i="3"/>
  <c r="V43" i="3" s="1"/>
  <c r="W34" i="3"/>
  <c r="W36" i="3" s="1"/>
  <c r="AA109" i="3"/>
  <c r="Z157" i="3" l="1"/>
  <c r="X212" i="3"/>
  <c r="X37" i="3" s="1"/>
  <c r="X27" i="3"/>
  <c r="X28" i="3" s="1"/>
  <c r="X186" i="3"/>
  <c r="X32" i="3"/>
  <c r="W42" i="3"/>
  <c r="W41" i="3"/>
  <c r="W40" i="3"/>
  <c r="W43" i="3" s="1"/>
  <c r="W39" i="3"/>
  <c r="X145" i="3"/>
  <c r="X183" i="3"/>
  <c r="AA113" i="3"/>
  <c r="AA111" i="3"/>
  <c r="Y139" i="3"/>
  <c r="Y142" i="3"/>
  <c r="Y141" i="3"/>
  <c r="Y138" i="3"/>
  <c r="Y137" i="3"/>
  <c r="Y79" i="3"/>
  <c r="Y77" i="3"/>
  <c r="Y20" i="3" l="1"/>
  <c r="Z74" i="3"/>
  <c r="Z71" i="3"/>
  <c r="Z70" i="3"/>
  <c r="Z72" i="3"/>
  <c r="Z75" i="3"/>
  <c r="Y19" i="3"/>
  <c r="AA112" i="3"/>
  <c r="AB111" i="3"/>
  <c r="AB112" i="3" s="1"/>
  <c r="X187" i="3"/>
  <c r="Y143" i="3"/>
  <c r="Y17" i="3"/>
  <c r="Y22" i="3"/>
  <c r="Y78" i="3"/>
  <c r="X33" i="3"/>
  <c r="X34" i="3" s="1"/>
  <c r="X36" i="3" s="1"/>
  <c r="Y23" i="3"/>
  <c r="Z161" i="3"/>
  <c r="Z159" i="3"/>
  <c r="X42" i="3" l="1"/>
  <c r="X41" i="3"/>
  <c r="AA153" i="3"/>
  <c r="AA151" i="3"/>
  <c r="AA157" i="3" s="1"/>
  <c r="AA152" i="3"/>
  <c r="AA156" i="3"/>
  <c r="AA155" i="3"/>
  <c r="Y146" i="3"/>
  <c r="Y144" i="3"/>
  <c r="Y196" i="3"/>
  <c r="Y208" i="3" s="1"/>
  <c r="Y210" i="3" s="1"/>
  <c r="Z76" i="3"/>
  <c r="Z160" i="3"/>
  <c r="Y24" i="3"/>
  <c r="Y26" i="3" s="1"/>
  <c r="Y18" i="3"/>
  <c r="X38" i="3"/>
  <c r="X43" i="3" s="1"/>
  <c r="Z79" i="3" l="1"/>
  <c r="Z77" i="3"/>
  <c r="Y145" i="3"/>
  <c r="Y183" i="3"/>
  <c r="Y27" i="3"/>
  <c r="Y212" i="3"/>
  <c r="Y37" i="3" s="1"/>
  <c r="Z139" i="3"/>
  <c r="Z138" i="3"/>
  <c r="Z142" i="3"/>
  <c r="Z137" i="3"/>
  <c r="Z141" i="3"/>
  <c r="AA159" i="3"/>
  <c r="AA161" i="3"/>
  <c r="Y28" i="3"/>
  <c r="Y32" i="3"/>
  <c r="Y186" i="3"/>
  <c r="Z22" i="3" l="1"/>
  <c r="Z20" i="3"/>
  <c r="Y187" i="3"/>
  <c r="Y38" i="3"/>
  <c r="Y43" i="3" s="1"/>
  <c r="Z23" i="3"/>
  <c r="Z78" i="3"/>
  <c r="Y33" i="3"/>
  <c r="Y34" i="3"/>
  <c r="Y36" i="3" s="1"/>
  <c r="Z143" i="3"/>
  <c r="Z17" i="3"/>
  <c r="AA160" i="3"/>
  <c r="AB159" i="3"/>
  <c r="AB160" i="3" s="1"/>
  <c r="Z19" i="3"/>
  <c r="AA74" i="3"/>
  <c r="AA70" i="3"/>
  <c r="AA75" i="3"/>
  <c r="AA72" i="3"/>
  <c r="AA71" i="3"/>
  <c r="Y41" i="3" l="1"/>
  <c r="Y42" i="3"/>
  <c r="Z24" i="3"/>
  <c r="Z26" i="3" s="1"/>
  <c r="Z18" i="3"/>
  <c r="AA76" i="3"/>
  <c r="Z146" i="3"/>
  <c r="Z144" i="3"/>
  <c r="Z196" i="3"/>
  <c r="Z208" i="3" s="1"/>
  <c r="Z210" i="3" s="1"/>
  <c r="Z186" i="3" l="1"/>
  <c r="Z32" i="3"/>
  <c r="AA79" i="3"/>
  <c r="AA77" i="3"/>
  <c r="Z145" i="3"/>
  <c r="Z183" i="3"/>
  <c r="Z212" i="3"/>
  <c r="Z37" i="3" s="1"/>
  <c r="Z27" i="3"/>
  <c r="AA137" i="3"/>
  <c r="AA138" i="3"/>
  <c r="AA19" i="3" s="1"/>
  <c r="AB19" i="3" s="1"/>
  <c r="AA142" i="3"/>
  <c r="AA23" i="3" s="1"/>
  <c r="AA141" i="3"/>
  <c r="AA22" i="3" s="1"/>
  <c r="AB22" i="3" s="1"/>
  <c r="AA139" i="3"/>
  <c r="AA20" i="3" s="1"/>
  <c r="AB20" i="3" s="1"/>
  <c r="AA143" i="3" l="1"/>
  <c r="AA17" i="3"/>
  <c r="Z33" i="3"/>
  <c r="AA196" i="3"/>
  <c r="AA208" i="3" s="1"/>
  <c r="AA210" i="3" s="1"/>
  <c r="AB23" i="3"/>
  <c r="AA78" i="3"/>
  <c r="AB77" i="3"/>
  <c r="AB78" i="3" s="1"/>
  <c r="Z28" i="3"/>
  <c r="Z187" i="3" l="1"/>
  <c r="Z38" i="3"/>
  <c r="Z43" i="3" s="1"/>
  <c r="AA212" i="3"/>
  <c r="AA37" i="3" s="1"/>
  <c r="AB37" i="3" s="1"/>
  <c r="AA27" i="3"/>
  <c r="AB27" i="3" s="1"/>
  <c r="AA24" i="3"/>
  <c r="AA26" i="3" s="1"/>
  <c r="AA18" i="3"/>
  <c r="AB17" i="3"/>
  <c r="Z34" i="3"/>
  <c r="Z36" i="3" s="1"/>
  <c r="AA146" i="3"/>
  <c r="AA144" i="3"/>
  <c r="AA145" i="3" l="1"/>
  <c r="AB144" i="3"/>
  <c r="AB145" i="3" s="1"/>
  <c r="AA183" i="3"/>
  <c r="AA28" i="3"/>
  <c r="AA186" i="3"/>
  <c r="AA32" i="3"/>
  <c r="AB24" i="3"/>
  <c r="AB26" i="3" s="1"/>
  <c r="AB18" i="3"/>
  <c r="Z42" i="3"/>
  <c r="Z41" i="3"/>
  <c r="AB186" i="3" l="1"/>
  <c r="AB28" i="3"/>
  <c r="AB32" i="3"/>
  <c r="AB34" i="3" s="1"/>
  <c r="AB36" i="3" s="1"/>
  <c r="AA34" i="3"/>
  <c r="AA36" i="3" s="1"/>
  <c r="AA33" i="3"/>
  <c r="AB33" i="3" s="1"/>
  <c r="AA187" i="3"/>
  <c r="AA38" i="3"/>
  <c r="AA43" i="3" s="1"/>
  <c r="AB38" i="3" l="1"/>
  <c r="AB187" i="3"/>
  <c r="AA42" i="3"/>
  <c r="AA41" i="3"/>
  <c r="AB39" i="3"/>
  <c r="AB41" i="3" s="1"/>
  <c r="AB40" i="3"/>
  <c r="AB42" i="3" s="1"/>
  <c r="AB188" i="3"/>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00000000-0006-0000-0100-000001000000}">
      <text>
        <r>
          <rPr>
            <sz val="9"/>
            <color indexed="81"/>
            <rFont val="Tahoma"/>
            <family val="2"/>
          </rPr>
          <t>Management views as a percentage of total net revenue. Margin % tends to shift with changes in food/beverage mix, cost of coffee, and changes in fx.</t>
        </r>
      </text>
    </comment>
    <comment ref="B25" authorId="0" shapeId="0" xr:uid="{00000000-0006-0000-0100-00000200000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00000000-0006-0000-0100-000003000000}">
      <text>
        <r>
          <rPr>
            <b/>
            <sz val="9"/>
            <color indexed="81"/>
            <rFont val="Tahoma"/>
            <family val="2"/>
          </rPr>
          <t xml:space="preserve">F2Q2019 Earnings call guidance for FY2019: </t>
        </r>
        <r>
          <rPr>
            <sz val="9"/>
            <color indexed="81"/>
            <rFont val="Tahoma"/>
            <family val="2"/>
          </rPr>
          <t xml:space="preserve">GAAP EPS in the range of $2.40 to $2.44
</t>
        </r>
        <r>
          <rPr>
            <b/>
            <sz val="9"/>
            <color indexed="81"/>
            <rFont val="Tahoma"/>
            <family val="2"/>
          </rPr>
          <t>Past Guidance (F1Q2019 Earnings call guidance for FY2019):</t>
        </r>
        <r>
          <rPr>
            <sz val="9"/>
            <color indexed="81"/>
            <rFont val="Tahoma"/>
            <family val="2"/>
          </rPr>
          <t xml:space="preserve"> GAAP EPS in the range of $2.32 to $2.37
</t>
        </r>
      </text>
    </comment>
    <comment ref="W43" authorId="0" shapeId="0" xr:uid="{00000000-0006-0000-0100-000005000000}">
      <text>
        <r>
          <rPr>
            <b/>
            <sz val="9"/>
            <color indexed="81"/>
            <rFont val="Tahoma"/>
            <family val="2"/>
          </rPr>
          <t>F2Q2019 Earnings call guidance for FY2019:</t>
        </r>
        <r>
          <rPr>
            <sz val="9"/>
            <color indexed="81"/>
            <rFont val="Tahoma"/>
            <family val="2"/>
          </rPr>
          <t xml:space="preserve"> Non-GAAP EPS in the range of $2.75 to $2.79 
</t>
        </r>
        <r>
          <rPr>
            <b/>
            <sz val="9"/>
            <color indexed="81"/>
            <rFont val="Tahoma"/>
            <family val="2"/>
          </rPr>
          <t>Past Guidance (F1Q2019 Earnings call guidance for FY2019):</t>
        </r>
        <r>
          <rPr>
            <sz val="9"/>
            <color indexed="81"/>
            <rFont val="Tahoma"/>
            <family val="2"/>
          </rPr>
          <t xml:space="preserve"> Non-GAAP EPS in the range of $2.68 to $2.73 </t>
        </r>
      </text>
    </comment>
    <comment ref="W68" authorId="0" shapeId="0" xr:uid="{00000000-0006-0000-0100-000008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8" authorId="0" shapeId="0" xr:uid="{00000000-0006-0000-0100-000009000000}">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01" authorId="0" shapeId="0" xr:uid="{00000000-0006-0000-0100-00000D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12" authorId="0" shapeId="0" xr:uid="{00000000-0006-0000-0100-00000E000000}">
      <text>
        <r>
          <rPr>
            <b/>
            <sz val="9"/>
            <color indexed="81"/>
            <rFont val="Tahoma"/>
            <family val="2"/>
          </rPr>
          <t xml:space="preserve">F2Q2019 Earnings call guidance for FY2019:
</t>
        </r>
        <r>
          <rPr>
            <sz val="9"/>
            <color indexed="81"/>
            <rFont val="Tahoma"/>
            <family val="2"/>
          </rPr>
          <t>Consolidated operating margin down moderately</t>
        </r>
        <r>
          <rPr>
            <b/>
            <sz val="9"/>
            <color indexed="81"/>
            <rFont val="Tahoma"/>
            <family val="2"/>
          </rPr>
          <t xml:space="preserve">
</t>
        </r>
        <r>
          <rPr>
            <sz val="9"/>
            <color indexed="81"/>
            <rFont val="Tahoma"/>
            <family val="2"/>
          </rPr>
          <t>&gt;Americas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35" authorId="0" shapeId="0" xr:uid="{00000000-0006-0000-0100-000010000000}">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5" authorId="0" shapeId="0" xr:uid="{00000000-0006-0000-0100-000011000000}">
      <text>
        <r>
          <rPr>
            <b/>
            <sz val="9"/>
            <color indexed="81"/>
            <rFont val="Tahoma"/>
            <family val="2"/>
          </rPr>
          <t xml:space="preserve">F2Q2019 Earnings call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60" authorId="0" shapeId="0" xr:uid="{00000000-0006-0000-0100-000012000000}">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5" authorId="0" shapeId="0" xr:uid="{00000000-0006-0000-0100-000013000000}">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8" authorId="0" shapeId="0" xr:uid="{00000000-0006-0000-0100-000014000000}">
      <text>
        <r>
          <rPr>
            <b/>
            <sz val="9"/>
            <color indexed="81"/>
            <rFont val="Tahoma"/>
            <family val="2"/>
          </rPr>
          <t xml:space="preserve">F2Q2019 Earnings call guidance for FY2019: </t>
        </r>
        <r>
          <rPr>
            <sz val="9"/>
            <color indexed="81"/>
            <rFont val="Tahoma"/>
            <family val="2"/>
          </rPr>
          <t xml:space="preserve">20% to 22%, Non-GAAP tax rate in the range of 19% to 21%.
</t>
        </r>
        <r>
          <rPr>
            <b/>
            <sz val="9"/>
            <color indexed="81"/>
            <rFont val="Tahoma"/>
            <family val="2"/>
          </rPr>
          <t>Past Guidance (F1Q2019 Earnings call guidance for FY2019):</t>
        </r>
        <r>
          <rPr>
            <sz val="9"/>
            <color indexed="81"/>
            <rFont val="Tahoma"/>
            <family val="2"/>
          </rPr>
          <t xml:space="preserve"> 21% to 23%</t>
        </r>
      </text>
    </comment>
  </commentList>
</comments>
</file>

<file path=xl/sharedStrings.xml><?xml version="1.0" encoding="utf-8"?>
<sst xmlns="http://schemas.openxmlformats.org/spreadsheetml/2006/main" count="509" uniqueCount="187">
  <si>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</si>
  <si>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</si>
  <si>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</si>
  <si>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</si>
  <si>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</si>
  <si>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</si>
  <si>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</si>
  <si>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</si>
  <si>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</si>
  <si>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</si>
  <si>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</si>
  <si>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</si>
  <si>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</si>
  <si>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</si>
  <si>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</si>
  <si>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</si>
  <si>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</si>
  <si>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</si>
  <si>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</si>
  <si>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</si>
  <si>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</si>
  <si>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</si>
  <si>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</si>
  <si>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</si>
  <si>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</si>
  <si>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</si>
  <si>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</si>
  <si>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</si>
  <si>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</si>
  <si>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</si>
  <si>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</si>
  <si>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</si>
  <si>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</si>
  <si>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</si>
  <si>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</si>
  <si>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</si>
  <si>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</si>
  <si>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</si>
  <si>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</si>
  <si>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</si>
  <si>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</si>
  <si>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</si>
  <si>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</si>
  <si>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</si>
  <si>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</si>
  <si>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</si>
  <si>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</si>
  <si>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</si>
  <si>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</si>
  <si>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</si>
  <si>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</si>
  <si>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</si>
  <si>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</si>
  <si>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</si>
  <si>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</si>
  <si>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</si>
  <si>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</si>
  <si>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</si>
  <si>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</si>
  <si>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</si>
  <si>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</si>
  <si>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</si>
  <si>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</si>
  <si>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</si>
  <si>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</si>
  <si>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</si>
  <si>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</si>
  <si>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</si>
  <si>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</si>
  <si>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</si>
  <si>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</si>
  <si>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</si>
  <si>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</si>
  <si>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</si>
  <si>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</si>
  <si>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</si>
  <si>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</si>
  <si>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</si>
  <si>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</si>
  <si>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</si>
  <si>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</si>
  <si>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</si>
  <si>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</si>
  <si>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</si>
  <si>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</si>
  <si>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</si>
  <si>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</si>
  <si>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</si>
  <si>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</si>
  <si>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</si>
  <si>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</si>
  <si>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</si>
  <si>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</si>
  <si>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</si>
  <si>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</si>
  <si>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</si>
  <si>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</si>
  <si>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</si>
  <si>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</si>
  <si>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</si>
  <si>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</si>
  <si>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</si>
  <si>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</si>
  <si>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</si>
  <si>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</si>
  <si>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</si>
  <si>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</si>
  <si>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</si>
  <si>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</si>
  <si>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</si>
  <si>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</si>
  <si>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</si>
  <si>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</si>
  <si>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</si>
  <si>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</si>
  <si>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</si>
  <si>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</si>
  <si>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</si>
  <si>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</si>
  <si>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</si>
  <si>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</si>
  <si>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</si>
  <si>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</si>
  <si>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</si>
  <si>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</si>
  <si>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</si>
  <si>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</si>
  <si>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</si>
  <si>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</si>
  <si>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</si>
  <si>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</si>
  <si>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</si>
  <si>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</si>
  <si>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</si>
  <si>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</si>
  <si>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</si>
  <si>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</si>
  <si>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</si>
  <si>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</si>
  <si>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</si>
  <si>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</si>
  <si>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</si>
  <si>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</si>
  <si>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</si>
  <si>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</si>
  <si>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</si>
  <si>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</si>
  <si>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</si>
  <si>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</si>
  <si>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</si>
  <si>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</si>
  <si>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</si>
  <si>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</si>
  <si>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</si>
  <si>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</si>
  <si>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</si>
  <si>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</si>
  <si>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</si>
  <si>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</si>
  <si>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</si>
  <si>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</si>
  <si>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</si>
  <si>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</si>
  <si>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</si>
  <si>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</si>
  <si>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</si>
  <si>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</si>
  <si>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</si>
  <si>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</si>
  <si>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</si>
  <si>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</si>
  <si>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</si>
  <si>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</si>
  <si>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</si>
  <si>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</si>
  <si>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</si>
  <si>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</si>
  <si>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</si>
  <si>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</si>
  <si>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</si>
  <si>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</si>
  <si>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</si>
  <si>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</si>
  <si>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</si>
  <si>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</si>
  <si>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</si>
  <si>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Blue cells = Primary estimates (last updated 5/27/2019)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</si>
</sst>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65" fontId="61" fillId="10" borderId="5" xfId="1" quotePrefix="1" applyNumberFormat="1" applyFont="1" applyFill="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6" fontId="61" fillId="10" borderId="5" xfId="2" applyNumberFormat="1" applyFont="1" applyFill="1" applyBorder="1" applyAlignment="1">
      <alignment horizontal="righ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166" fontId="62" fillId="10" borderId="5" xfId="2" quotePrefix="1" applyNumberFormat="1" applyFont="1" applyFill="1" applyBorder="1" applyAlignment="1">
      <alignment horizontal="right"/>
    </xf>
    <xf numFmtId="166" fontId="61" fillId="10" borderId="5" xfId="2" quotePrefix="1" applyNumberFormat="1" applyFont="1" applyFill="1" applyBorder="1" applyAlignment="1">
      <alignment horizontal="right"/>
    </xf>
    <xf numFmtId="43" fontId="62" fillId="10" borderId="5" xfId="1" applyFont="1" applyFill="1" applyBorder="1" applyAlignment="1">
      <alignment horizontal="right"/>
    </xf>
    <xf numFmtId="43" fontId="71" fillId="10" borderId="34" xfId="1" applyFont="1" applyFill="1" applyBorder="1" applyAlignment="1">
      <alignment horizontal="right"/>
    </xf>
    <xf numFmtId="43" fontId="4" fillId="0" borderId="0" xfId="1" applyFont="1" applyAlignment="1">
      <alignment horizontal="lef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43" fontId="71" fillId="0" borderId="36" xfId="1" applyNumberFormat="1" applyFont="1" applyFill="1" applyBorder="1" applyAlignment="1">
      <alignment horizontal="right"/>
    </xf>
    <xf numFmtId="43" fontId="71" fillId="0" borderId="34" xfId="1" applyFont="1" applyFill="1" applyBorder="1" applyAlignment="1">
      <alignment horizontal="right"/>
    </xf>
    <xf numFmtId="166" fontId="69" fillId="0" borderId="3" xfId="2" applyNumberFormat="1" applyFont="1" applyBorder="1" applyAlignment="1">
      <alignment horizontal="right"/>
    </xf>
    <xf numFmtId="166" fontId="69" fillId="0" borderId="0" xfId="2" applyNumberFormat="1" applyFont="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25" xfId="0" applyFont="1" applyBorder="1" applyAlignment="1">
      <alignment horizontal="left" indent="1"/>
    </xf>
    <xf numFmtId="0" fontId="62" fillId="0" borderId="26"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00000000-0005-0000-0000-0000EE000000}"/>
    <cellStyle name="Normal 141" xfId="330" xr:uid="{00000000-0005-0000-0000-0000EF000000}"/>
    <cellStyle name="Normal 2" xfId="3" xr:uid="{00000000-0005-0000-0000-0000F0000000}"/>
    <cellStyle name="Normal 2 2" xfId="240" xr:uid="{00000000-0005-0000-0000-0000F1000000}"/>
    <cellStyle name="Normal 2 2 2" xfId="241" xr:uid="{00000000-0005-0000-0000-0000F2000000}"/>
    <cellStyle name="Normal 2 3" xfId="242" xr:uid="{00000000-0005-0000-0000-0000F3000000}"/>
    <cellStyle name="Normal 2 3 2" xfId="243" xr:uid="{00000000-0005-0000-0000-0000F4000000}"/>
    <cellStyle name="Normal 2 4" xfId="244" xr:uid="{00000000-0005-0000-0000-0000F5000000}"/>
    <cellStyle name="Normal 2 5" xfId="245" xr:uid="{00000000-0005-0000-0000-0000F6000000}"/>
    <cellStyle name="Normal 2 6" xfId="246" xr:uid="{00000000-0005-0000-0000-0000F7000000}"/>
    <cellStyle name="Normal 2 7" xfId="247" xr:uid="{00000000-0005-0000-0000-0000F8000000}"/>
    <cellStyle name="Normal 2 8" xfId="248" xr:uid="{00000000-0005-0000-0000-0000F9000000}"/>
    <cellStyle name="Normal 3" xfId="4" xr:uid="{00000000-0005-0000-0000-0000FA000000}"/>
    <cellStyle name="Normal 3 2" xfId="249" xr:uid="{00000000-0005-0000-0000-0000FB000000}"/>
    <cellStyle name="Normal 3 3" xfId="250" xr:uid="{00000000-0005-0000-0000-0000FC000000}"/>
    <cellStyle name="Normal 3 4" xfId="251" xr:uid="{00000000-0005-0000-0000-0000FD000000}"/>
    <cellStyle name="Normal 4" xfId="252" xr:uid="{00000000-0005-0000-0000-0000FE000000}"/>
    <cellStyle name="Normal 5" xfId="253" xr:uid="{00000000-0005-0000-0000-0000FF000000}"/>
    <cellStyle name="Normal 5 2" xfId="254" xr:uid="{00000000-0005-0000-0000-000000010000}"/>
    <cellStyle name="Normal 6" xfId="255" xr:uid="{00000000-0005-0000-0000-000001010000}"/>
    <cellStyle name="Normal 6 2" xfId="256" xr:uid="{00000000-0005-0000-0000-000002010000}"/>
    <cellStyle name="Normal 6 3" xfId="257" xr:uid="{00000000-0005-0000-0000-000003010000}"/>
    <cellStyle name="Normal 7" xfId="258" xr:uid="{00000000-0005-0000-0000-000004010000}"/>
    <cellStyle name="Normal 7 2" xfId="259" xr:uid="{00000000-0005-0000-0000-000005010000}"/>
    <cellStyle name="Normal 8" xfId="260" xr:uid="{00000000-0005-0000-0000-000006010000}"/>
    <cellStyle name="Normal 8 2" xfId="261" xr:uid="{00000000-0005-0000-0000-000007010000}"/>
    <cellStyle name="Normal 8 3" xfId="262" xr:uid="{00000000-0005-0000-0000-000008010000}"/>
    <cellStyle name="Normal 9" xfId="263" xr:uid="{00000000-0005-0000-0000-000009010000}"/>
    <cellStyle name="Number0DecimalStyle" xfId="264" xr:uid="{00000000-0005-0000-0000-00000A010000}"/>
    <cellStyle name="Number0DecimalStyle 2" xfId="265" xr:uid="{00000000-0005-0000-0000-00000B010000}"/>
    <cellStyle name="Number10DecimalStyle" xfId="266" xr:uid="{00000000-0005-0000-0000-00000C010000}"/>
    <cellStyle name="Number1DecimalStyle" xfId="267" xr:uid="{00000000-0005-0000-0000-00000D010000}"/>
    <cellStyle name="Number2DecimalStyle" xfId="268" xr:uid="{00000000-0005-0000-0000-00000E010000}"/>
    <cellStyle name="Number2DecimalStyle 2" xfId="269" xr:uid="{00000000-0005-0000-0000-00000F010000}"/>
    <cellStyle name="Number3DecimalStyle" xfId="270" xr:uid="{00000000-0005-0000-0000-000010010000}"/>
    <cellStyle name="Number4DecimalStyle" xfId="271" xr:uid="{00000000-0005-0000-0000-000011010000}"/>
    <cellStyle name="Number5DecimalStyle" xfId="272" xr:uid="{00000000-0005-0000-0000-000012010000}"/>
    <cellStyle name="Number6DecimalStyle" xfId="273" xr:uid="{00000000-0005-0000-0000-000013010000}"/>
    <cellStyle name="Number7DecimalStyle" xfId="274" xr:uid="{00000000-0005-0000-0000-000014010000}"/>
    <cellStyle name="Number8DecimalStyle" xfId="275" xr:uid="{00000000-0005-0000-0000-000015010000}"/>
    <cellStyle name="Number9DecimalStyle" xfId="276" xr:uid="{00000000-0005-0000-0000-000016010000}"/>
    <cellStyle name="over" xfId="277" xr:uid="{00000000-0005-0000-0000-000017010000}"/>
    <cellStyle name="Percent" xfId="2" builtinId="5"/>
    <cellStyle name="percent (0)" xfId="278" xr:uid="{00000000-0005-0000-0000-000019010000}"/>
    <cellStyle name="Percent [0]" xfId="279" xr:uid="{00000000-0005-0000-0000-00001A010000}"/>
    <cellStyle name="Percent [0] 2" xfId="280" xr:uid="{00000000-0005-0000-0000-00001B010000}"/>
    <cellStyle name="Percent [00]" xfId="281" xr:uid="{00000000-0005-0000-0000-00001C010000}"/>
    <cellStyle name="Percent [00] 2" xfId="282" xr:uid="{00000000-0005-0000-0000-00001D010000}"/>
    <cellStyle name="Percent [2]" xfId="283" xr:uid="{00000000-0005-0000-0000-00001E010000}"/>
    <cellStyle name="Percent 10" xfId="284" xr:uid="{00000000-0005-0000-0000-00001F010000}"/>
    <cellStyle name="Percent 2" xfId="285" xr:uid="{00000000-0005-0000-0000-000020010000}"/>
    <cellStyle name="Percent 2 2" xfId="286" xr:uid="{00000000-0005-0000-0000-000021010000}"/>
    <cellStyle name="Percent 2 3" xfId="287" xr:uid="{00000000-0005-0000-0000-000022010000}"/>
    <cellStyle name="Percent 2 4" xfId="288" xr:uid="{00000000-0005-0000-0000-000023010000}"/>
    <cellStyle name="Percent 3" xfId="289" xr:uid="{00000000-0005-0000-0000-000024010000}"/>
    <cellStyle name="Percent 3 2" xfId="290" xr:uid="{00000000-0005-0000-0000-000025010000}"/>
    <cellStyle name="Percent 4" xfId="291" xr:uid="{00000000-0005-0000-0000-000026010000}"/>
    <cellStyle name="Percent 6" xfId="292" xr:uid="{00000000-0005-0000-0000-000027010000}"/>
    <cellStyle name="PERCENTAGE" xfId="293" xr:uid="{00000000-0005-0000-0000-000028010000}"/>
    <cellStyle name="posit" xfId="294" xr:uid="{00000000-0005-0000-0000-000029010000}"/>
    <cellStyle name="Powerpoint Style" xfId="295" xr:uid="{00000000-0005-0000-0000-00002A010000}"/>
    <cellStyle name="PrePop Currency (0)" xfId="296" xr:uid="{00000000-0005-0000-0000-00002B010000}"/>
    <cellStyle name="PrePop Currency (0) 2" xfId="297" xr:uid="{00000000-0005-0000-0000-00002C010000}"/>
    <cellStyle name="PrePop Currency (2)" xfId="298" xr:uid="{00000000-0005-0000-0000-00002D010000}"/>
    <cellStyle name="PrePop Currency (2) 2" xfId="299" xr:uid="{00000000-0005-0000-0000-00002E010000}"/>
    <cellStyle name="PrePop Units (0)" xfId="300" xr:uid="{00000000-0005-0000-0000-00002F010000}"/>
    <cellStyle name="PrePop Units (0) 2" xfId="301" xr:uid="{00000000-0005-0000-0000-000030010000}"/>
    <cellStyle name="PrePop Units (1)" xfId="302" xr:uid="{00000000-0005-0000-0000-000031010000}"/>
    <cellStyle name="PrePop Units (1) 2" xfId="303" xr:uid="{00000000-0005-0000-0000-000032010000}"/>
    <cellStyle name="PrePop Units (2)" xfId="304" xr:uid="{00000000-0005-0000-0000-000033010000}"/>
    <cellStyle name="PrePop Units (2) 2" xfId="305" xr:uid="{00000000-0005-0000-0000-000034010000}"/>
    <cellStyle name="SingleTopDoubleBott" xfId="306" xr:uid="{00000000-0005-0000-0000-000035010000}"/>
    <cellStyle name="Standard_A" xfId="307" xr:uid="{00000000-0005-0000-0000-000036010000}"/>
    <cellStyle name="Style 1" xfId="308" xr:uid="{00000000-0005-0000-0000-000037010000}"/>
    <cellStyle name="Style 2" xfId="309" xr:uid="{00000000-0005-0000-0000-000038010000}"/>
    <cellStyle name="Style 3" xfId="310" xr:uid="{00000000-0005-0000-0000-000039010000}"/>
    <cellStyle name="Style 4" xfId="311" xr:uid="{00000000-0005-0000-0000-00003A010000}"/>
    <cellStyle name="Text Indent A" xfId="312" xr:uid="{00000000-0005-0000-0000-00003B010000}"/>
    <cellStyle name="Text Indent B" xfId="313" xr:uid="{00000000-0005-0000-0000-00003C010000}"/>
    <cellStyle name="Text Indent B 2" xfId="314" xr:uid="{00000000-0005-0000-0000-00003D010000}"/>
    <cellStyle name="Text Indent C" xfId="315" xr:uid="{00000000-0005-0000-0000-00003E010000}"/>
    <cellStyle name="Text Indent C 2" xfId="316" xr:uid="{00000000-0005-0000-0000-00003F010000}"/>
    <cellStyle name="TextStyle" xfId="317" xr:uid="{00000000-0005-0000-0000-000040010000}"/>
    <cellStyle name="Tickmark" xfId="318" xr:uid="{00000000-0005-0000-0000-000041010000}"/>
    <cellStyle name="TimStyle" xfId="319" xr:uid="{00000000-0005-0000-0000-000042010000}"/>
    <cellStyle name="Total 2" xfId="320" xr:uid="{00000000-0005-0000-0000-000043010000}"/>
    <cellStyle name="Total 3" xfId="321" xr:uid="{00000000-0005-0000-0000-000044010000}"/>
    <cellStyle name="Total 4" xfId="322" xr:uid="{00000000-0005-0000-0000-000045010000}"/>
    <cellStyle name="Underline" xfId="323" xr:uid="{00000000-0005-0000-0000-000046010000}"/>
    <cellStyle name="UnderlineDouble" xfId="324" xr:uid="{00000000-0005-0000-0000-000047010000}"/>
    <cellStyle name="Währung [0]_RESULTS" xfId="325" xr:uid="{00000000-0005-0000-0000-000048010000}"/>
    <cellStyle name="Währung_RESULTS" xfId="326" xr:uid="{00000000-0005-0000-0000-000049010000}"/>
    <cellStyle name="표준_BINV" xfId="327" xr:uid="{00000000-0005-0000-0000-00004A010000}"/>
    <cellStyle name="標準_99B-05PE_IC2" xfId="328" xr:uid="{00000000-0005-0000-0000-00004B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943962528"/>
        <c:axId val="-965816400"/>
      </c:lineChart>
      <c:catAx>
        <c:axId val="-9439625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965816400"/>
        <c:crosses val="autoZero"/>
        <c:auto val="1"/>
        <c:lblAlgn val="ctr"/>
        <c:lblOffset val="100"/>
        <c:tickLblSkip val="7"/>
        <c:noMultiLvlLbl val="1"/>
      </c:catAx>
      <c:valAx>
        <c:axId val="-965816400"/>
        <c:scaling>
          <c:orientation val="minMax"/>
        </c:scaling>
        <c:delete val="0"/>
        <c:axPos val="l"/>
        <c:majorGridlines/>
        <c:numFmt formatCode="0.0\x" sourceLinked="0"/>
        <c:majorTickMark val="out"/>
        <c:minorTickMark val="none"/>
        <c:tickLblPos val="nextTo"/>
        <c:crossAx val="-943962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
          <c:y val="6.0114217012323399E-3"/>
        </c:manualLayout>
      </c:layout>
      <c:overlay val="1"/>
    </c:title>
    <c:autoTitleDeleted val="0"/>
    <c:plotArea>
      <c:layout>
        <c:manualLayout>
          <c:layoutTarget val="inner"/>
          <c:xMode val="edge"/>
          <c:yMode val="edge"/>
          <c:x val="7.5259906105276497E-2"/>
          <c:y val="9.884433967846E-2"/>
          <c:w val="0.78454722918835496"/>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9857</c:v>
                </c:pt>
                <c:pt idx="5">
                  <c:v>9922</c:v>
                </c:pt>
                <c:pt idx="6">
                  <c:v>9981.5</c:v>
                </c:pt>
                <c:pt idx="7">
                  <c:v>10034.875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967894752"/>
        <c:axId val="-947362272"/>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0.21973376735715114</c:v>
                </c:pt>
                <c:pt idx="5">
                  <c:v>0.22081928075585741</c:v>
                </c:pt>
                <c:pt idx="6">
                  <c:v>0.22430948971890427</c:v>
                </c:pt>
                <c:pt idx="7">
                  <c:v>0.21512190540281156</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947282240"/>
        <c:axId val="-947215376"/>
      </c:lineChart>
      <c:catAx>
        <c:axId val="-967894752"/>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947362272"/>
        <c:crosses val="autoZero"/>
        <c:auto val="1"/>
        <c:lblAlgn val="ctr"/>
        <c:lblOffset val="100"/>
        <c:noMultiLvlLbl val="0"/>
      </c:catAx>
      <c:valAx>
        <c:axId val="-947362272"/>
        <c:scaling>
          <c:orientation val="minMax"/>
        </c:scaling>
        <c:delete val="0"/>
        <c:axPos val="l"/>
        <c:majorGridlines>
          <c:spPr>
            <a:ln>
              <a:prstDash val="dash"/>
            </a:ln>
          </c:spPr>
        </c:majorGridlines>
        <c:numFmt formatCode="#,##0" sourceLinked="0"/>
        <c:majorTickMark val="out"/>
        <c:minorTickMark val="none"/>
        <c:tickLblPos val="nextTo"/>
        <c:spPr>
          <a:ln>
            <a:noFill/>
          </a:ln>
        </c:spPr>
        <c:crossAx val="-967894752"/>
        <c:crosses val="autoZero"/>
        <c:crossBetween val="between"/>
      </c:valAx>
      <c:valAx>
        <c:axId val="-947215376"/>
        <c:scaling>
          <c:orientation val="minMax"/>
        </c:scaling>
        <c:delete val="0"/>
        <c:axPos val="r"/>
        <c:numFmt formatCode="0%" sourceLinked="0"/>
        <c:majorTickMark val="out"/>
        <c:minorTickMark val="none"/>
        <c:tickLblPos val="nextTo"/>
        <c:crossAx val="-947282240"/>
        <c:crosses val="max"/>
        <c:crossBetween val="between"/>
      </c:valAx>
      <c:catAx>
        <c:axId val="-947282240"/>
        <c:scaling>
          <c:orientation val="minMax"/>
        </c:scaling>
        <c:delete val="1"/>
        <c:axPos val="b"/>
        <c:numFmt formatCode="General" sourceLinked="1"/>
        <c:majorTickMark val="out"/>
        <c:minorTickMark val="none"/>
        <c:tickLblPos val="nextTo"/>
        <c:crossAx val="-947215376"/>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099E-3"/>
          <c:y val="0.82587988043424199"/>
          <c:w val="0.99567776198227798"/>
          <c:h val="0.15834984107599701"/>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402"/>
          <c:y val="6.0114217012323399E-3"/>
        </c:manualLayout>
      </c:layout>
      <c:overlay val="1"/>
    </c:title>
    <c:autoTitleDeleted val="0"/>
    <c:plotArea>
      <c:layout>
        <c:manualLayout>
          <c:layoutTarget val="inner"/>
          <c:xMode val="edge"/>
          <c:yMode val="edge"/>
          <c:x val="7.5259906105276497E-2"/>
          <c:y val="9.884433967846E-2"/>
          <c:w val="0.78454722918835496"/>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5708</c:v>
                </c:pt>
                <c:pt idx="5">
                  <c:v>5948</c:v>
                </c:pt>
                <c:pt idx="6">
                  <c:v>6145.25</c:v>
                </c:pt>
                <c:pt idx="7">
                  <c:v>6344.0625</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965883920"/>
        <c:axId val="-965881872"/>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0.20095128683348995</c:v>
                </c:pt>
                <c:pt idx="5">
                  <c:v>0.19963422271102355</c:v>
                </c:pt>
                <c:pt idx="6">
                  <c:v>0.18913260717746855</c:v>
                </c:pt>
                <c:pt idx="7">
                  <c:v>0.17965959747128937</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965876720"/>
        <c:axId val="-965879040"/>
      </c:lineChart>
      <c:catAx>
        <c:axId val="-965883920"/>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965881872"/>
        <c:crosses val="autoZero"/>
        <c:auto val="1"/>
        <c:lblAlgn val="ctr"/>
        <c:lblOffset val="100"/>
        <c:noMultiLvlLbl val="0"/>
      </c:catAx>
      <c:valAx>
        <c:axId val="-965881872"/>
        <c:scaling>
          <c:orientation val="minMax"/>
        </c:scaling>
        <c:delete val="0"/>
        <c:axPos val="l"/>
        <c:majorGridlines>
          <c:spPr>
            <a:ln>
              <a:prstDash val="dash"/>
            </a:ln>
          </c:spPr>
        </c:majorGridlines>
        <c:numFmt formatCode="#,##0" sourceLinked="0"/>
        <c:majorTickMark val="out"/>
        <c:minorTickMark val="none"/>
        <c:tickLblPos val="nextTo"/>
        <c:spPr>
          <a:ln>
            <a:noFill/>
          </a:ln>
        </c:spPr>
        <c:crossAx val="-965883920"/>
        <c:crosses val="autoZero"/>
        <c:crossBetween val="between"/>
      </c:valAx>
      <c:valAx>
        <c:axId val="-965879040"/>
        <c:scaling>
          <c:orientation val="minMax"/>
        </c:scaling>
        <c:delete val="0"/>
        <c:axPos val="r"/>
        <c:numFmt formatCode="0%" sourceLinked="0"/>
        <c:majorTickMark val="out"/>
        <c:minorTickMark val="none"/>
        <c:tickLblPos val="nextTo"/>
        <c:crossAx val="-965876720"/>
        <c:crosses val="max"/>
        <c:crossBetween val="between"/>
      </c:valAx>
      <c:catAx>
        <c:axId val="-965876720"/>
        <c:scaling>
          <c:orientation val="minMax"/>
        </c:scaling>
        <c:delete val="1"/>
        <c:axPos val="b"/>
        <c:numFmt formatCode="General" sourceLinked="1"/>
        <c:majorTickMark val="out"/>
        <c:minorTickMark val="none"/>
        <c:tickLblPos val="nextTo"/>
        <c:crossAx val="-965879040"/>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78379992852561597"/>
          <c:w val="0.99567776198227798"/>
          <c:h val="0.15834984107599701"/>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D214"/>
  <sheetViews>
    <sheetView showGridLines="0" tabSelected="1" workbookViewId="0">
      <pane xSplit="3" ySplit="12" topLeftCell="N103" activePane="bottomRight" state="frozen"/>
      <selection pane="topRight" activeCell="D1" sqref="D1"/>
      <selection pane="bottomLeft" activeCell="A13" sqref="A13"/>
      <selection pane="bottomRight" activeCell="B2" sqref="B2:C2"/>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12" t="s">
        <v>14</v>
      </c>
    </row>
    <row r="2" spans="1:56" ht="45" customHeight="1" x14ac:dyDescent="0.25">
      <c r="B2" s="267" t="s">
        <v>13</v>
      </c>
      <c r="C2" s="268"/>
      <c r="K2" s="12"/>
    </row>
    <row r="3" spans="1:56" x14ac:dyDescent="0.25">
      <c r="B3" s="271" t="s">
        <v>186</v>
      </c>
      <c r="C3" s="272"/>
      <c r="D3" s="13"/>
      <c r="G3" s="14"/>
      <c r="H3" s="14"/>
    </row>
    <row r="4" spans="1:56" x14ac:dyDescent="0.25">
      <c r="B4" s="273" t="s">
        <v>181</v>
      </c>
      <c r="C4" s="274"/>
      <c r="D4" s="13"/>
      <c r="G4" s="14"/>
      <c r="H4" s="14"/>
      <c r="BD4" s="4" t="s">
        <v>14</v>
      </c>
    </row>
    <row r="5" spans="1:56" hidden="1" x14ac:dyDescent="0.25">
      <c r="B5" s="275"/>
      <c r="C5" s="276"/>
      <c r="D5" s="211"/>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9"/>
      <c r="U9" s="91"/>
      <c r="V9" s="91"/>
      <c r="W9" s="42"/>
      <c r="X9" s="91"/>
      <c r="Y9" s="91"/>
      <c r="Z9" s="42"/>
      <c r="AA9" s="91"/>
      <c r="AB9" s="47"/>
    </row>
    <row r="10" spans="1:56" ht="8.25" customHeight="1" x14ac:dyDescent="0.25">
      <c r="B10" s="212"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81"/>
      <c r="B11" s="245" t="s">
        <v>35</v>
      </c>
      <c r="C11" s="246"/>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81"/>
      <c r="B12" s="249" t="s">
        <v>3</v>
      </c>
      <c r="C12" s="250"/>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5" t="s">
        <v>70</v>
      </c>
      <c r="C13" s="256"/>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5443.5096206459348</v>
      </c>
      <c r="V13" s="104">
        <f t="shared" si="0"/>
        <v>5471.2264170862682</v>
      </c>
      <c r="W13" s="105">
        <f>SUM(S13:V13)</f>
        <v>21444.036037732203</v>
      </c>
      <c r="X13" s="104">
        <f>+X57+X90+X124+X164</f>
        <v>5735.9994444100248</v>
      </c>
      <c r="Y13" s="104">
        <f>+Y57+Y90+Y124+Y164</f>
        <v>5619.7439013413932</v>
      </c>
      <c r="Z13" s="104">
        <f t="shared" ref="Z13:AA13" si="1">+Z57+Z90+Z124+Z164</f>
        <v>5957.2968462345179</v>
      </c>
      <c r="AA13" s="104">
        <f t="shared" si="1"/>
        <v>6001.3226529926033</v>
      </c>
      <c r="AB13" s="105">
        <f>SUM(X13:AA13)</f>
        <v>23314.362844978539</v>
      </c>
    </row>
    <row r="14" spans="1:56" outlineLevel="1" x14ac:dyDescent="0.25">
      <c r="B14" s="255" t="s">
        <v>71</v>
      </c>
      <c r="C14" s="256"/>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729.8194735466534</v>
      </c>
      <c r="V14" s="104">
        <f t="shared" si="5"/>
        <v>757.09488877978094</v>
      </c>
      <c r="W14" s="105">
        <f t="shared" ref="W14:W15" si="6">SUM(S14:V14)</f>
        <v>2902.2143623264342</v>
      </c>
      <c r="X14" s="104">
        <f>+X64+X97+X131+X166</f>
        <v>813.98970406277454</v>
      </c>
      <c r="Y14" s="104">
        <f>+Y64+Y97+Y131+Y166</f>
        <v>746.08630227963681</v>
      </c>
      <c r="Z14" s="104">
        <f t="shared" ref="Z14:AA14" si="7">+Z64+Z97+Z131+Z166</f>
        <v>797.69924272892274</v>
      </c>
      <c r="AA14" s="104">
        <f t="shared" si="7"/>
        <v>819.53880897745637</v>
      </c>
      <c r="AB14" s="105">
        <f t="shared" ref="AB14:AB15" si="8">SUM(X14:AA14)</f>
        <v>3177.3140580487907</v>
      </c>
    </row>
    <row r="15" spans="1:56" ht="17.25" outlineLevel="1" x14ac:dyDescent="0.4">
      <c r="B15" s="255" t="s">
        <v>33</v>
      </c>
      <c r="C15" s="256"/>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79" t="s">
        <v>72</v>
      </c>
      <c r="C16" s="280"/>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7">
        <f t="shared" si="11"/>
        <v>6305.9</v>
      </c>
      <c r="U16" s="217">
        <f t="shared" si="11"/>
        <v>6705.4009853730822</v>
      </c>
      <c r="V16" s="217">
        <f t="shared" si="11"/>
        <v>6764.0370962956886</v>
      </c>
      <c r="W16" s="235">
        <f t="shared" si="11"/>
        <v>26408.038081668772</v>
      </c>
      <c r="X16" s="217">
        <f t="shared" si="11"/>
        <v>7104.0145498206675</v>
      </c>
      <c r="Y16" s="217">
        <f t="shared" si="11"/>
        <v>6862.4573078218091</v>
      </c>
      <c r="Z16" s="217">
        <f t="shared" si="11"/>
        <v>7317.3680754591624</v>
      </c>
      <c r="AA16" s="217">
        <f t="shared" si="11"/>
        <v>7387.3512531128026</v>
      </c>
      <c r="AB16" s="235">
        <f t="shared" si="11"/>
        <v>28671.191186214441</v>
      </c>
    </row>
    <row r="17" spans="2:28" ht="17.25" outlineLevel="1" x14ac:dyDescent="0.4">
      <c r="B17" s="255" t="s">
        <v>73</v>
      </c>
      <c r="C17" s="256"/>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8">
        <v>2603.8000000000002</v>
      </c>
      <c r="U17" s="108">
        <f t="shared" ref="U17:V17" si="12">+U70+U103+U137+U151+U170</f>
        <v>2736.3897764051062</v>
      </c>
      <c r="V17" s="108">
        <f t="shared" si="12"/>
        <v>2760.4865140696907</v>
      </c>
      <c r="W17" s="109">
        <f>SUM(S17:V17)</f>
        <v>10859.376290474796</v>
      </c>
      <c r="X17" s="108">
        <f>+X70+X103+X137+X151+X170</f>
        <v>2884.8859985439572</v>
      </c>
      <c r="Y17" s="108">
        <f t="shared" ref="Y17:AA17" si="13">+Y70+Y103+Y137+Y151+Y170</f>
        <v>2802.8894802438253</v>
      </c>
      <c r="Z17" s="108">
        <f t="shared" si="13"/>
        <v>2959.3859140660579</v>
      </c>
      <c r="AA17" s="108">
        <f t="shared" si="13"/>
        <v>2983.6901256296887</v>
      </c>
      <c r="AB17" s="109">
        <f>SUM(X17:AA17)</f>
        <v>11630.851518483527</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7">
        <f t="shared" ref="T18:V18" si="21">+T16-T17</f>
        <v>3702.0999999999995</v>
      </c>
      <c r="U18" s="106">
        <f t="shared" si="21"/>
        <v>3969.011208967976</v>
      </c>
      <c r="V18" s="106">
        <f t="shared" si="21"/>
        <v>4003.5505822259979</v>
      </c>
      <c r="W18" s="107">
        <f>+W16-W17</f>
        <v>15548.661791193976</v>
      </c>
      <c r="X18" s="106">
        <f t="shared" ref="X18:AA18" si="22">+X16-X17</f>
        <v>4219.1285512767099</v>
      </c>
      <c r="Y18" s="106">
        <f t="shared" si="22"/>
        <v>4059.5678275779837</v>
      </c>
      <c r="Z18" s="106">
        <f t="shared" si="22"/>
        <v>4357.9821613931044</v>
      </c>
      <c r="AA18" s="106">
        <f t="shared" si="22"/>
        <v>4403.6611274831139</v>
      </c>
      <c r="AB18" s="107">
        <f>+AB16-AB17</f>
        <v>17040.339667730914</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9">
        <v>1949.6</v>
      </c>
      <c r="U19" s="104">
        <f t="shared" ref="U19:V19" si="26">+U71+U104+U138+U152+U171</f>
        <v>2017.7952756609168</v>
      </c>
      <c r="V19" s="104">
        <f t="shared" si="26"/>
        <v>2034.2171983724163</v>
      </c>
      <c r="W19" s="105">
        <f t="shared" ref="W19:W22" si="27">SUM(S19:V19)</f>
        <v>7994.6124740333335</v>
      </c>
      <c r="X19" s="104">
        <f>+X71+X104+X138+X152+X171</f>
        <v>2136.1001193206562</v>
      </c>
      <c r="Y19" s="104">
        <f t="shared" ref="Y19:AA19" si="28">+Y71+Y104+Y138+Y152+Y171</f>
        <v>2103.3537753430478</v>
      </c>
      <c r="Z19" s="104">
        <f t="shared" si="28"/>
        <v>2192.4361652087791</v>
      </c>
      <c r="AA19" s="104">
        <f t="shared" si="28"/>
        <v>2209.9232842645929</v>
      </c>
      <c r="AB19" s="105">
        <f t="shared" ref="AB19:AB22" si="29">SUM(X19:AA19)</f>
        <v>8641.8133441370755</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9">
        <v>82.3</v>
      </c>
      <c r="U20" s="104">
        <f t="shared" ref="U20:V20" si="30">+U72+U105+U139+U153+U172</f>
        <v>87.949005360527906</v>
      </c>
      <c r="V20" s="104">
        <f t="shared" si="30"/>
        <v>89.274997695454346</v>
      </c>
      <c r="W20" s="105">
        <f t="shared" si="27"/>
        <v>352.72400305598228</v>
      </c>
      <c r="X20" s="104">
        <f>+X72+X105+X139+X153+X172</f>
        <v>91.490898958681228</v>
      </c>
      <c r="Y20" s="104">
        <f t="shared" ref="Y20:AA20" si="31">+Y72+Y105+Y139+Y153+Y172</f>
        <v>85.684625444429429</v>
      </c>
      <c r="Z20" s="104">
        <f t="shared" si="31"/>
        <v>91.729800642727795</v>
      </c>
      <c r="AA20" s="104">
        <f t="shared" si="31"/>
        <v>92.32006474423639</v>
      </c>
      <c r="AB20" s="105">
        <f t="shared" si="29"/>
        <v>361.22538979007487</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9">
        <v>356.2</v>
      </c>
      <c r="U21" s="104">
        <f>+U73+U106+U140+U154+U173</f>
        <v>366.15674146291917</v>
      </c>
      <c r="V21" s="104">
        <f t="shared" ref="V21" si="35">+V73+V106+V140+V154+V173</f>
        <v>373.20790065414627</v>
      </c>
      <c r="W21" s="105">
        <f t="shared" ref="W21" si="36">SUM(S21:V21)</f>
        <v>1428.9646421170653</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9">
        <v>475.6</v>
      </c>
      <c r="U22" s="104">
        <f t="shared" ref="U22:V22" si="39">+U74+U107+U141+U155+U174</f>
        <v>468.61498666122282</v>
      </c>
      <c r="V22" s="104">
        <f t="shared" si="39"/>
        <v>474.28133430172801</v>
      </c>
      <c r="W22" s="105">
        <f t="shared" si="27"/>
        <v>1881.7963209629509</v>
      </c>
      <c r="X22" s="104">
        <f>+X74+X107+X141+X155+X174</f>
        <v>481.39237281453575</v>
      </c>
      <c r="Y22" s="104">
        <f t="shared" ref="Y22:AA22" si="40">+Y74+Y107+Y141+Y155+Y174</f>
        <v>479.4835893313014</v>
      </c>
      <c r="Z22" s="104">
        <f t="shared" si="40"/>
        <v>486.62208333273946</v>
      </c>
      <c r="AA22" s="104">
        <f t="shared" si="40"/>
        <v>487.50587544744178</v>
      </c>
      <c r="AB22" s="234">
        <f t="shared" si="29"/>
        <v>1935.0039209260185</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8">
        <v>43</v>
      </c>
      <c r="U23" s="108">
        <f t="shared" ref="U23:V23" si="44">+U75+U108+U142+U156+U175</f>
        <v>52.049494113820188</v>
      </c>
      <c r="V23" s="108">
        <f t="shared" si="44"/>
        <v>54.084864629132497</v>
      </c>
      <c r="W23" s="109">
        <f t="shared" ref="W23" si="45">SUM(S23:V23)</f>
        <v>192.3343587429527</v>
      </c>
      <c r="X23" s="108">
        <f>+X75+X108+X142+X156+X175</f>
        <v>54.009643208406288</v>
      </c>
      <c r="Y23" s="108">
        <f t="shared" ref="Y23:AA23" si="46">+Y75+Y108+Y142+Y156+Y175</f>
        <v>47.746754049469196</v>
      </c>
      <c r="Z23" s="108">
        <f t="shared" si="46"/>
        <v>52.484808688970759</v>
      </c>
      <c r="AA23" s="108">
        <f t="shared" si="46"/>
        <v>52.094106550008831</v>
      </c>
      <c r="AB23" s="109">
        <f t="shared" ref="AB23" si="47">SUM(X23:AA23)</f>
        <v>206.33531249685507</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20">
        <f t="shared" si="48"/>
        <v>5510.5</v>
      </c>
      <c r="U24" s="110">
        <f t="shared" ref="U24:V24" si="49">SUM(U19:U23)+U17</f>
        <v>5728.955279664513</v>
      </c>
      <c r="V24" s="110">
        <f t="shared" si="49"/>
        <v>5785.5528097225679</v>
      </c>
      <c r="W24" s="111">
        <f t="shared" si="48"/>
        <v>22709.808089387079</v>
      </c>
      <c r="X24" s="110">
        <f t="shared" ref="X24:AA24" si="50">SUM(X19:X23)+X17</f>
        <v>6039.6957483191727</v>
      </c>
      <c r="Y24" s="110">
        <f t="shared" si="50"/>
        <v>5921.8390221873069</v>
      </c>
      <c r="Z24" s="110">
        <f t="shared" si="50"/>
        <v>6183.5728761945793</v>
      </c>
      <c r="AA24" s="110">
        <f t="shared" si="50"/>
        <v>6227.0811482541358</v>
      </c>
      <c r="AB24" s="111">
        <f t="shared" si="48"/>
        <v>24372.188794955196</v>
      </c>
    </row>
    <row r="25" spans="2:28" s="39" customFormat="1" ht="17.25" customHeight="1" x14ac:dyDescent="0.4">
      <c r="B25" s="263" t="s">
        <v>78</v>
      </c>
      <c r="C25" s="264"/>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8">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7">
        <f t="shared" si="58"/>
        <v>857.69999999999959</v>
      </c>
      <c r="U26" s="106">
        <f t="shared" si="58"/>
        <v>1048.7457057085692</v>
      </c>
      <c r="V26" s="106">
        <f t="shared" si="58"/>
        <v>1051.0092865731208</v>
      </c>
      <c r="W26" s="107">
        <f t="shared" si="58"/>
        <v>3973.154992281693</v>
      </c>
      <c r="X26" s="106">
        <f t="shared" si="58"/>
        <v>1133.0500515014949</v>
      </c>
      <c r="Y26" s="106">
        <f t="shared" si="58"/>
        <v>1009.5823481345021</v>
      </c>
      <c r="Z26" s="106">
        <f t="shared" si="58"/>
        <v>1204.425277389583</v>
      </c>
      <c r="AA26" s="106">
        <f t="shared" si="58"/>
        <v>1230.4827025149168</v>
      </c>
      <c r="AB26" s="107">
        <f t="shared" si="58"/>
        <v>4577.5403795404945</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21">
        <f>+T210</f>
        <v>141.4</v>
      </c>
      <c r="U27" s="190">
        <f>+U210</f>
        <v>119.21743402246304</v>
      </c>
      <c r="V27" s="190">
        <f>+V210</f>
        <v>138.96877045489299</v>
      </c>
      <c r="W27" s="191">
        <f>SUM(S27:V27)</f>
        <v>537.58620447735598</v>
      </c>
      <c r="X27" s="190">
        <f>+X210</f>
        <v>135.04815406624977</v>
      </c>
      <c r="Y27" s="190">
        <f>+Y210</f>
        <v>116.0193431975309</v>
      </c>
      <c r="Z27" s="190">
        <f>+Z210</f>
        <v>137.82554512404789</v>
      </c>
      <c r="AA27" s="190">
        <f>+AA210</f>
        <v>141.97804211669455</v>
      </c>
      <c r="AB27" s="191">
        <f>SUM(X27:AA27)</f>
        <v>530.8710845045232</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22">
        <f t="shared" si="59"/>
        <v>999.09999999999957</v>
      </c>
      <c r="U28" s="177">
        <f t="shared" si="59"/>
        <v>1167.9631397310322</v>
      </c>
      <c r="V28" s="177">
        <f t="shared" si="59"/>
        <v>1189.9780570280138</v>
      </c>
      <c r="W28" s="178">
        <f t="shared" ref="W28" si="62">+W26+W27</f>
        <v>4510.7411967590488</v>
      </c>
      <c r="X28" s="177">
        <f t="shared" si="59"/>
        <v>1268.0982055677446</v>
      </c>
      <c r="Y28" s="177">
        <f t="shared" si="59"/>
        <v>1125.6016913320329</v>
      </c>
      <c r="Z28" s="177">
        <f t="shared" si="59"/>
        <v>1342.250822513631</v>
      </c>
      <c r="AA28" s="177">
        <f t="shared" si="59"/>
        <v>1372.4607446316113</v>
      </c>
      <c r="AB28" s="178">
        <f t="shared" ref="AB28" si="63">+AB26+AB27</f>
        <v>5108.411464045018</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9">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9">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8">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77" t="s">
        <v>18</v>
      </c>
      <c r="C32" s="278"/>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7">
        <f t="shared" si="76"/>
        <v>819.99999999999966</v>
      </c>
      <c r="U32" s="106">
        <f t="shared" si="76"/>
        <v>982.16447570856917</v>
      </c>
      <c r="V32" s="106">
        <f t="shared" si="76"/>
        <v>977.04530985824272</v>
      </c>
      <c r="W32" s="107">
        <f t="shared" si="76"/>
        <v>3744.7097855668148</v>
      </c>
      <c r="X32" s="106">
        <f t="shared" si="76"/>
        <v>1050.9444696798605</v>
      </c>
      <c r="Y32" s="106">
        <f t="shared" si="76"/>
        <v>926.58419873760806</v>
      </c>
      <c r="Z32" s="106">
        <f t="shared" si="76"/>
        <v>1118.7855035102182</v>
      </c>
      <c r="AA32" s="106">
        <f t="shared" si="76"/>
        <v>1142.2074293195337</v>
      </c>
      <c r="AB32" s="107">
        <f t="shared" si="76"/>
        <v>4238.5216012472183</v>
      </c>
    </row>
    <row r="33" spans="1:28" ht="17.25" x14ac:dyDescent="0.4">
      <c r="B33" s="247" t="s">
        <v>7</v>
      </c>
      <c r="C33" s="248"/>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8">
        <v>161.19999999999999</v>
      </c>
      <c r="U33" s="108">
        <f>+U32*U188</f>
        <v>206.25453989879952</v>
      </c>
      <c r="V33" s="108">
        <f>+V32*V188</f>
        <v>214.9499681688134</v>
      </c>
      <c r="W33" s="109">
        <f>SUM(S33:V33)</f>
        <v>787.50450806761285</v>
      </c>
      <c r="X33" s="108">
        <f>+X32*X188</f>
        <v>220.43932265514465</v>
      </c>
      <c r="Y33" s="108">
        <f>+Y32*Y188</f>
        <v>193.73460369349178</v>
      </c>
      <c r="Z33" s="108">
        <f>+Z32*Z188</f>
        <v>237.4169867682613</v>
      </c>
      <c r="AA33" s="108">
        <f>+AA32*AA188</f>
        <v>243.0182893259078</v>
      </c>
      <c r="AB33" s="109">
        <f>SUM(X33:AA33)</f>
        <v>894.60920244280555</v>
      </c>
    </row>
    <row r="34" spans="1:28" x14ac:dyDescent="0.25">
      <c r="A34" s="39"/>
      <c r="B34" s="277" t="s">
        <v>81</v>
      </c>
      <c r="C34" s="278"/>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7">
        <f t="shared" si="77"/>
        <v>658.79999999999973</v>
      </c>
      <c r="U34" s="106">
        <f t="shared" si="77"/>
        <v>775.90993580976965</v>
      </c>
      <c r="V34" s="106">
        <f t="shared" si="77"/>
        <v>762.09534168942935</v>
      </c>
      <c r="W34" s="107">
        <f t="shared" ref="W34" si="80">+W32-W33</f>
        <v>2957.2052774992021</v>
      </c>
      <c r="X34" s="106">
        <f t="shared" si="77"/>
        <v>830.50514702471582</v>
      </c>
      <c r="Y34" s="106">
        <f t="shared" si="77"/>
        <v>732.84959504411631</v>
      </c>
      <c r="Z34" s="106">
        <f t="shared" si="77"/>
        <v>881.36851674195691</v>
      </c>
      <c r="AA34" s="106">
        <f t="shared" si="77"/>
        <v>899.18913999362599</v>
      </c>
      <c r="AB34" s="107">
        <f t="shared" ref="AB34" si="81">+AB32-AB33</f>
        <v>3343.912398804413</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8">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7">
        <f t="shared" si="85"/>
        <v>663.1999999999997</v>
      </c>
      <c r="U36" s="106">
        <f t="shared" si="85"/>
        <v>777.03493580976965</v>
      </c>
      <c r="V36" s="106">
        <f t="shared" si="85"/>
        <v>763.37659168942935</v>
      </c>
      <c r="W36" s="107">
        <f t="shared" si="85"/>
        <v>2964.211527499202</v>
      </c>
      <c r="X36" s="106">
        <f t="shared" si="85"/>
        <v>832.2567095247158</v>
      </c>
      <c r="Y36" s="106">
        <f t="shared" si="85"/>
        <v>734.98904816911636</v>
      </c>
      <c r="Z36" s="106">
        <f t="shared" si="85"/>
        <v>882.94283314820689</v>
      </c>
      <c r="AA36" s="106">
        <f t="shared" si="85"/>
        <v>900.87578550143849</v>
      </c>
      <c r="AB36" s="107">
        <f t="shared" si="85"/>
        <v>3351.0643763434755</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3">
        <f>-T211-T212</f>
        <v>-54.179999999999545</v>
      </c>
      <c r="U37" s="192">
        <f>-U211-U212</f>
        <v>-23.84348680449261</v>
      </c>
      <c r="V37" s="192">
        <f>-V211-V212</f>
        <v>-27.793754090978599</v>
      </c>
      <c r="W37" s="193">
        <f>SUM(S37:V37)</f>
        <v>-64.367240895472108</v>
      </c>
      <c r="X37" s="192">
        <f>-X211-X212</f>
        <v>-27.009630813249956</v>
      </c>
      <c r="Y37" s="192">
        <f>-Y211-Y212</f>
        <v>-23.203868639506183</v>
      </c>
      <c r="Z37" s="192">
        <f>-Z211-Z212</f>
        <v>-27.56510902480958</v>
      </c>
      <c r="AA37" s="192">
        <f>-AA211-AA212</f>
        <v>-28.395608423338913</v>
      </c>
      <c r="AB37" s="193">
        <f>SUM(X37:AA37)</f>
        <v>-106.17421690090463</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22">
        <f t="shared" si="86"/>
        <v>750.42000000000007</v>
      </c>
      <c r="U38" s="177">
        <f t="shared" si="86"/>
        <v>872.4088830277401</v>
      </c>
      <c r="V38" s="177">
        <f t="shared" si="86"/>
        <v>874.55160805334378</v>
      </c>
      <c r="W38" s="178">
        <f t="shared" si="86"/>
        <v>3437.4304910810861</v>
      </c>
      <c r="X38" s="177">
        <f t="shared" si="86"/>
        <v>940.2952327777158</v>
      </c>
      <c r="Y38" s="177">
        <f t="shared" si="86"/>
        <v>827.80452272714092</v>
      </c>
      <c r="Z38" s="177">
        <f t="shared" si="86"/>
        <v>993.20326924744529</v>
      </c>
      <c r="AA38" s="177">
        <f t="shared" si="86"/>
        <v>1014.4582191947941</v>
      </c>
      <c r="AB38" s="178">
        <f t="shared" si="86"/>
        <v>3775.7612439470945</v>
      </c>
    </row>
    <row r="39" spans="1:28" x14ac:dyDescent="0.25">
      <c r="B39" s="247" t="s">
        <v>0</v>
      </c>
      <c r="C39" s="248"/>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6">
        <v>1239.2</v>
      </c>
      <c r="U39" s="30">
        <f>T39*(1+U190)-U194</f>
        <v>1220.9466926829268</v>
      </c>
      <c r="V39" s="30">
        <f>U39*(1+V190)-V194</f>
        <v>1212.8003507741751</v>
      </c>
      <c r="W39" s="31">
        <f>+(S36/W36*S39)+(T36/W36*T39)+(U36/W36*U39)+(V36/W36*V39)</f>
        <v>1228.3348335203261</v>
      </c>
      <c r="X39" s="30">
        <f>V39*(1+X190)-X194</f>
        <v>1209.3435985345468</v>
      </c>
      <c r="Y39" s="30">
        <f>X39*(1+Y190)-Y194</f>
        <v>1205.8799327904394</v>
      </c>
      <c r="Z39" s="30">
        <f>Y39*(1+Z190)-Z194</f>
        <v>1202.4093397148438</v>
      </c>
      <c r="AA39" s="30">
        <f>Z39*(1+AA190)-AA194</f>
        <v>1198.9318054530968</v>
      </c>
      <c r="AB39" s="31">
        <f>+(X36/AB36*X39)+(Y36/AB36*Y39)+(Z36/AB36*Z39)+(AA36/AB36*AA39)</f>
        <v>1203.9578342637603</v>
      </c>
    </row>
    <row r="40" spans="1:28" ht="15.75" customHeight="1" x14ac:dyDescent="0.25">
      <c r="B40" s="247" t="s">
        <v>1</v>
      </c>
      <c r="C40" s="248"/>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6">
        <v>1250.7</v>
      </c>
      <c r="U40" s="30">
        <f>T40*(1+U191)-U194</f>
        <v>1232.469692682927</v>
      </c>
      <c r="V40" s="30">
        <f>U40*(1+V191)-V194</f>
        <v>1224.3463967741752</v>
      </c>
      <c r="W40" s="31">
        <f>+(S36/W36*S40)+(T36/W36*T40)+(U36/W36*U40)+(V36/W36*V40)</f>
        <v>1239.8270615520569</v>
      </c>
      <c r="X40" s="30">
        <f>V40*(1+X191)-X194</f>
        <v>1220.912736626547</v>
      </c>
      <c r="Y40" s="30">
        <f>X40*(1+Y191)-Y194</f>
        <v>1217.4722091586236</v>
      </c>
      <c r="Z40" s="30">
        <f>Y40*(1+Z191)-Z194</f>
        <v>1214.0248006357642</v>
      </c>
      <c r="AA40" s="30">
        <f>Z40*(1+AA191)-AA194</f>
        <v>1210.5704972958592</v>
      </c>
      <c r="AB40" s="31">
        <f>+(X36/AB36*X40)+(Y36/AB36*Y40)+(Z36/AB36*Z40)+(AA36/AB36*AA40)</f>
        <v>1215.5629507989379</v>
      </c>
    </row>
    <row r="41" spans="1:28" ht="15.75" customHeight="1" x14ac:dyDescent="0.25">
      <c r="B41" s="251" t="s">
        <v>8</v>
      </c>
      <c r="C41" s="252"/>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4">
        <f t="shared" si="87"/>
        <v>0.53518398967075509</v>
      </c>
      <c r="U41" s="40">
        <f t="shared" si="87"/>
        <v>0.6364200341149221</v>
      </c>
      <c r="V41" s="40">
        <f t="shared" si="87"/>
        <v>0.62943302349981844</v>
      </c>
      <c r="W41" s="41">
        <f t="shared" si="87"/>
        <v>2.4131950398279991</v>
      </c>
      <c r="X41" s="40">
        <f t="shared" si="87"/>
        <v>0.68818879145118417</v>
      </c>
      <c r="Y41" s="40">
        <f t="shared" si="87"/>
        <v>0.60950433636318291</v>
      </c>
      <c r="Z41" s="40">
        <f t="shared" si="87"/>
        <v>0.73431135636188616</v>
      </c>
      <c r="AA41" s="40">
        <f t="shared" si="87"/>
        <v>0.7513986879020047</v>
      </c>
      <c r="AB41" s="41">
        <f t="shared" si="87"/>
        <v>2.7833735376560802</v>
      </c>
    </row>
    <row r="42" spans="1:28" x14ac:dyDescent="0.25">
      <c r="B42" s="251" t="s">
        <v>9</v>
      </c>
      <c r="C42" s="252"/>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4">
        <f t="shared" si="88"/>
        <v>0.53026305269049312</v>
      </c>
      <c r="U42" s="40">
        <f t="shared" si="88"/>
        <v>0.63046981229880406</v>
      </c>
      <c r="V42" s="40">
        <f t="shared" si="88"/>
        <v>0.62349723387165767</v>
      </c>
      <c r="W42" s="209">
        <f t="shared" si="88"/>
        <v>2.3908266075338789</v>
      </c>
      <c r="X42" s="40">
        <f t="shared" si="88"/>
        <v>0.68166764467073182</v>
      </c>
      <c r="Y42" s="40">
        <f t="shared" si="88"/>
        <v>0.60370088338776617</v>
      </c>
      <c r="Z42" s="40">
        <f t="shared" si="88"/>
        <v>0.7272856639220423</v>
      </c>
      <c r="AA42" s="40">
        <f t="shared" si="88"/>
        <v>0.74417457513940022</v>
      </c>
      <c r="AB42" s="41">
        <f t="shared" si="88"/>
        <v>2.7568003566914929</v>
      </c>
    </row>
    <row r="43" spans="1:28" x14ac:dyDescent="0.25">
      <c r="B43" s="194" t="s">
        <v>171</v>
      </c>
      <c r="C43" s="214"/>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5">
        <f t="shared" si="89"/>
        <v>0.60000000000000009</v>
      </c>
      <c r="U43" s="241">
        <f t="shared" si="89"/>
        <v>0.70785422814626697</v>
      </c>
      <c r="V43" s="241">
        <f t="shared" si="89"/>
        <v>0.71430079784410117</v>
      </c>
      <c r="W43" s="210">
        <f t="shared" si="89"/>
        <v>2.7725080357400782</v>
      </c>
      <c r="X43" s="225">
        <f t="shared" si="89"/>
        <v>0.77015760796779487</v>
      </c>
      <c r="Y43" s="225">
        <f t="shared" si="89"/>
        <v>0.67993709959032567</v>
      </c>
      <c r="Z43" s="225">
        <f t="shared" si="89"/>
        <v>0.81810789098156933</v>
      </c>
      <c r="AA43" s="225">
        <f t="shared" si="89"/>
        <v>0.83800011768076654</v>
      </c>
      <c r="AB43" s="242">
        <f t="shared" si="89"/>
        <v>3.1061832227326827</v>
      </c>
    </row>
    <row r="44" spans="1:28" x14ac:dyDescent="0.25">
      <c r="B44" s="202" t="s">
        <v>83</v>
      </c>
      <c r="C44" s="215"/>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6">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12"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45" t="s">
        <v>20</v>
      </c>
      <c r="C46" s="246"/>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49"/>
      <c r="C47" s="250"/>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82" t="s">
        <v>84</v>
      </c>
      <c r="C48" s="283"/>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57" t="s">
        <v>86</v>
      </c>
      <c r="C49" s="258"/>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9857</v>
      </c>
      <c r="V49" s="37">
        <f t="shared" si="90"/>
        <v>9922</v>
      </c>
      <c r="W49" s="115"/>
      <c r="X49" s="37">
        <f>+V49+X50</f>
        <v>9981.5</v>
      </c>
      <c r="Y49" s="37">
        <f>+X49+Y50</f>
        <v>10034.875</v>
      </c>
      <c r="Z49" s="37">
        <f t="shared" ref="Z49" si="91">+Y49+Z50</f>
        <v>10101.84375</v>
      </c>
      <c r="AA49" s="37">
        <f t="shared" ref="AA49" si="92">+Z49+AA50</f>
        <v>10163.0546875</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6">
        <v>-1</v>
      </c>
      <c r="U50" s="53">
        <v>90</v>
      </c>
      <c r="V50" s="53">
        <v>65</v>
      </c>
      <c r="W50" s="44">
        <f>+SUM(S50:V50)</f>
        <v>238</v>
      </c>
      <c r="X50" s="53">
        <f>AVERAGE(S50,T50,U50,V50)</f>
        <v>59.5</v>
      </c>
      <c r="Y50" s="53">
        <f>AVERAGE(T50,U50,V50,X50)</f>
        <v>53.375</v>
      </c>
      <c r="Z50" s="53">
        <f>AVERAGE(U50,V50,X50,Y50)</f>
        <v>66.96875</v>
      </c>
      <c r="AA50" s="53">
        <f>AVERAGE(V50,X50,Y50,Z50)</f>
        <v>61.2109375</v>
      </c>
      <c r="AB50" s="44">
        <f>+SUM(X50:AA50)</f>
        <v>241.0546875</v>
      </c>
    </row>
    <row r="51" spans="1:28" s="127" customFormat="1" outlineLevel="1" x14ac:dyDescent="0.25">
      <c r="A51" s="233"/>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9857</v>
      </c>
      <c r="AA51" s="132">
        <f>V49</f>
        <v>9922</v>
      </c>
      <c r="AB51" s="133"/>
    </row>
    <row r="52" spans="1:28" s="127" customFormat="1" outlineLevel="1" x14ac:dyDescent="0.25">
      <c r="A52" s="233"/>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0.40633120161439568</v>
      </c>
      <c r="V52" s="134">
        <f t="shared" si="94"/>
        <v>0.40802860799999996</v>
      </c>
      <c r="W52" s="133"/>
      <c r="X52" s="134">
        <f>+S52*(1+X55)</f>
        <v>0.42502239732695235</v>
      </c>
      <c r="Y52" s="134">
        <f>+T52*(1+Y55)</f>
        <v>0.41544404859363149</v>
      </c>
      <c r="Z52" s="134">
        <f t="shared" ref="Z52" si="95">+U52*(1+Z55)</f>
        <v>0.43078011778369163</v>
      </c>
      <c r="AA52" s="134">
        <f t="shared" ref="AA52" si="96">+V52*(1+AA55)</f>
        <v>0.43524917605309071</v>
      </c>
      <c r="AB52" s="133"/>
    </row>
    <row r="53" spans="1:28" outlineLevel="1" x14ac:dyDescent="0.25">
      <c r="A53" s="213"/>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3"/>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8"/>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7">
        <v>4.2999999999999997E-2</v>
      </c>
      <c r="U55" s="237">
        <v>3.4000000000000002E-2</v>
      </c>
      <c r="V55" s="237">
        <v>4.3999999999999997E-2</v>
      </c>
      <c r="W55" s="122"/>
      <c r="X55" s="125">
        <f>AVERAGE(V55,U55,T55,S55)-2.4222732578991%</f>
        <v>1.6027267421009E-2</v>
      </c>
      <c r="Y55" s="238">
        <f>AVERAGE(X55,V55,U55,T55)+2.20910348189489%</f>
        <v>5.6347851674201158E-2</v>
      </c>
      <c r="Z55" s="125">
        <f>AVERAGE(Y55,X55,V55,U55)+2.25761409021335%</f>
        <v>6.0169920675936045E-2</v>
      </c>
      <c r="AA55" s="125">
        <f>AVERAGE(Z55,Y55,X55,V55)+2.25761409021335%</f>
        <v>6.6712400844920056E-2</v>
      </c>
      <c r="AB55" s="122"/>
    </row>
    <row r="56" spans="1:28" ht="17.25" outlineLevel="1" x14ac:dyDescent="0.4">
      <c r="A56" s="213"/>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8"/>
      <c r="B57" s="251" t="s">
        <v>101</v>
      </c>
      <c r="C57" s="252"/>
      <c r="D57" s="106"/>
      <c r="E57" s="106"/>
      <c r="F57" s="106"/>
      <c r="G57" s="106"/>
      <c r="H57" s="123"/>
      <c r="I57" s="106">
        <v>3561</v>
      </c>
      <c r="J57" s="106">
        <v>3334.9</v>
      </c>
      <c r="K57" s="106">
        <v>3576.4</v>
      </c>
      <c r="L57" s="106">
        <v>3524.1</v>
      </c>
      <c r="M57" s="204">
        <f>SUM(I57:L57)</f>
        <v>13996.4</v>
      </c>
      <c r="N57" s="106">
        <v>3787</v>
      </c>
      <c r="O57" s="106">
        <v>3564.8</v>
      </c>
      <c r="P57" s="106">
        <v>3768.5</v>
      </c>
      <c r="Q57" s="106">
        <v>3784.7</v>
      </c>
      <c r="R57" s="204">
        <f>SUM(N57:Q57)</f>
        <v>14905</v>
      </c>
      <c r="S57" s="106">
        <v>4085.7</v>
      </c>
      <c r="T57" s="106">
        <v>3841.4</v>
      </c>
      <c r="U57" s="106">
        <f t="shared" ref="U57:V57" si="97">+U51*U52+U56</f>
        <v>4003.6422224343196</v>
      </c>
      <c r="V57" s="106">
        <f t="shared" si="97"/>
        <v>4056.6150761014342</v>
      </c>
      <c r="W57" s="204">
        <f>SUM(S57:V57)</f>
        <v>15987.357298535755</v>
      </c>
      <c r="X57" s="106">
        <f>+X51*X52+X56</f>
        <v>4256.7232735330108</v>
      </c>
      <c r="Y57" s="106">
        <f>+Y51*Y52+Y56</f>
        <v>4163.6125003549059</v>
      </c>
      <c r="Z57" s="106">
        <f t="shared" ref="Z57" si="98">+Z51*Z52+Z56</f>
        <v>4352.0163733353356</v>
      </c>
      <c r="AA57" s="106">
        <f t="shared" ref="AA57" si="99">+AA51*AA52+AA56</f>
        <v>4424.0817654875582</v>
      </c>
      <c r="AB57" s="204">
        <f>SUM(X57:AA57)</f>
        <v>17196.433912710811</v>
      </c>
    </row>
    <row r="58" spans="1:28" s="22" customFormat="1" outlineLevel="1" x14ac:dyDescent="0.25">
      <c r="A58" s="228"/>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0.40617248883375467</v>
      </c>
      <c r="V58" s="140">
        <f t="shared" ref="V58" si="104">+V57/V49</f>
        <v>0.40885054183646785</v>
      </c>
      <c r="W58" s="124"/>
      <c r="X58" s="140">
        <f t="shared" ref="X58:Y58" si="105">+X57/X49</f>
        <v>0.42646128072263795</v>
      </c>
      <c r="Y58" s="140">
        <f t="shared" si="105"/>
        <v>0.41491423663522525</v>
      </c>
      <c r="Z58" s="140">
        <f t="shared" ref="Z58" si="106">+Z57/Z49</f>
        <v>0.43081406533686839</v>
      </c>
      <c r="AA58" s="140">
        <f t="shared" ref="AA58" si="107">+AA57/AA49</f>
        <v>0.4353102390493811</v>
      </c>
      <c r="AB58" s="124"/>
    </row>
    <row r="59" spans="1:28" s="127" customFormat="1" outlineLevel="1" x14ac:dyDescent="0.25">
      <c r="A59" s="233"/>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8"/>
      <c r="B60" s="259" t="s">
        <v>87</v>
      </c>
      <c r="C60" s="260"/>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13"/>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6">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13"/>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13"/>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8"/>
      <c r="B64" s="261" t="s">
        <v>100</v>
      </c>
      <c r="C64" s="262"/>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8"/>
      <c r="B65" s="251" t="s">
        <v>99</v>
      </c>
      <c r="C65" s="252"/>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3"/>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3"/>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17924</v>
      </c>
      <c r="V67" s="30">
        <f t="shared" si="125"/>
        <v>18089</v>
      </c>
      <c r="W67" s="44"/>
      <c r="X67" s="30">
        <f>+X60+X49</f>
        <v>18247.75</v>
      </c>
      <c r="Y67" s="30">
        <f t="shared" ref="Y67:AA67" si="126">+Y60+Y49</f>
        <v>18398.6875</v>
      </c>
      <c r="Z67" s="30">
        <f t="shared" si="126"/>
        <v>18570.859375</v>
      </c>
      <c r="AA67" s="30">
        <f t="shared" si="126"/>
        <v>18732.57421875</v>
      </c>
      <c r="AB67" s="20"/>
    </row>
    <row r="68" spans="1:28" outlineLevel="1" x14ac:dyDescent="0.25">
      <c r="A68" s="213"/>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214</v>
      </c>
      <c r="V68" s="30">
        <f t="shared" si="127"/>
        <v>165</v>
      </c>
      <c r="W68" s="200">
        <f>+W61+W50</f>
        <v>635</v>
      </c>
      <c r="X68" s="30">
        <f>+X61+X50</f>
        <v>158.75</v>
      </c>
      <c r="Y68" s="30">
        <f t="shared" ref="Y68:AA68" si="129">+Y61+Y50</f>
        <v>150.9375</v>
      </c>
      <c r="Z68" s="30">
        <f t="shared" si="129"/>
        <v>172.171875</v>
      </c>
      <c r="AA68" s="30">
        <f t="shared" si="129"/>
        <v>161.71484375</v>
      </c>
      <c r="AB68" s="44">
        <f>+AB61+AB50</f>
        <v>643.57421875</v>
      </c>
    </row>
    <row r="69" spans="1:28" outlineLevel="1" x14ac:dyDescent="0.25">
      <c r="A69" s="213"/>
      <c r="B69" s="253" t="s">
        <v>103</v>
      </c>
      <c r="C69" s="254"/>
      <c r="D69" s="149"/>
      <c r="E69" s="149"/>
      <c r="F69" s="149"/>
      <c r="G69" s="149"/>
      <c r="H69" s="150"/>
      <c r="I69" s="151">
        <f>+I65+I64+I57</f>
        <v>3983.8</v>
      </c>
      <c r="J69" s="151">
        <f t="shared" ref="J69:V69" si="130">+J65+J64+J57</f>
        <v>3713</v>
      </c>
      <c r="K69" s="151">
        <f t="shared" si="130"/>
        <v>3981.8</v>
      </c>
      <c r="L69" s="151">
        <f t="shared" si="130"/>
        <v>3941.2999999999997</v>
      </c>
      <c r="M69" s="204">
        <f>SUM(I69:L69)</f>
        <v>15619.9</v>
      </c>
      <c r="N69" s="151">
        <f t="shared" si="130"/>
        <v>4257.6000000000004</v>
      </c>
      <c r="O69" s="151">
        <f t="shared" si="130"/>
        <v>3996.3</v>
      </c>
      <c r="P69" s="151">
        <f t="shared" si="130"/>
        <v>4224</v>
      </c>
      <c r="Q69" s="151">
        <f t="shared" si="130"/>
        <v>4254.2</v>
      </c>
      <c r="R69" s="204">
        <f>SUM(N69:Q69)</f>
        <v>16732.100000000002</v>
      </c>
      <c r="S69" s="151">
        <f t="shared" si="130"/>
        <v>4606</v>
      </c>
      <c r="T69" s="151">
        <f t="shared" si="130"/>
        <v>4305.8999999999996</v>
      </c>
      <c r="U69" s="151">
        <f t="shared" si="130"/>
        <v>4496.1858791507375</v>
      </c>
      <c r="V69" s="151">
        <f t="shared" si="130"/>
        <v>4563.2725566006538</v>
      </c>
      <c r="W69" s="204">
        <f>SUM(S69:V69)</f>
        <v>17971.35843575139</v>
      </c>
      <c r="X69" s="151">
        <f>+X65+X64+X57</f>
        <v>4815.1509361304797</v>
      </c>
      <c r="Y69" s="151">
        <f t="shared" ref="Y69:AA69" si="131">+Y65+Y64+Y57</f>
        <v>4662.2609383882836</v>
      </c>
      <c r="Z69" s="151">
        <f t="shared" si="131"/>
        <v>4882.147492924888</v>
      </c>
      <c r="AA69" s="151">
        <f t="shared" si="131"/>
        <v>4968.4095522191055</v>
      </c>
      <c r="AB69" s="204">
        <f>SUM(X69:AA69)</f>
        <v>19327.968919662755</v>
      </c>
    </row>
    <row r="70" spans="1:28" outlineLevel="1" x14ac:dyDescent="0.25">
      <c r="A70" s="213"/>
      <c r="B70" s="255" t="s">
        <v>73</v>
      </c>
      <c r="C70" s="256"/>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1635.981315924171</v>
      </c>
      <c r="V70" s="104">
        <f>+(V69*V80)*(U70/U79)</f>
        <v>1655.9099728551812</v>
      </c>
      <c r="W70" s="170"/>
      <c r="X70" s="104">
        <f>+(X69*X80)*(V70/V79)</f>
        <v>1741.8614374842791</v>
      </c>
      <c r="Y70" s="104">
        <f>+(Y69*Y80)*(X70/X79)</f>
        <v>1702.1036175970755</v>
      </c>
      <c r="Z70" s="104">
        <f>+(Z69*Z80)*(Y70/Y79)</f>
        <v>1759.6359639265474</v>
      </c>
      <c r="AA70" s="104">
        <f>+(AA69*AA80)*(Z70/Z79)</f>
        <v>1783.4077071269819</v>
      </c>
      <c r="AB70" s="170"/>
    </row>
    <row r="71" spans="1:28" outlineLevel="1" x14ac:dyDescent="0.25">
      <c r="A71" s="213"/>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1580.1823181750742</v>
      </c>
      <c r="V71" s="104">
        <f>+(V69*V80)*(U71/U79)</f>
        <v>1599.431261302258</v>
      </c>
      <c r="W71" s="105"/>
      <c r="X71" s="104">
        <f>+(X69*X80)*(V71/V79)</f>
        <v>1682.4511486971371</v>
      </c>
      <c r="Y71" s="104">
        <f>+(Y69*Y80)*(X71/X79)</f>
        <v>1644.0493629411312</v>
      </c>
      <c r="Z71" s="104">
        <f>+(Z69*Z80)*(Y71/Y79)</f>
        <v>1699.6194330318156</v>
      </c>
      <c r="AA71" s="104">
        <f>+(AA69*AA80)*(Z71/Z79)</f>
        <v>1722.5803849154897</v>
      </c>
      <c r="AB71" s="105"/>
    </row>
    <row r="72" spans="1:28" outlineLevel="1" x14ac:dyDescent="0.25">
      <c r="A72" s="213"/>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39.944669975368342</v>
      </c>
      <c r="V72" s="104">
        <f>+(V69*V80)*(U72/U79)</f>
        <v>40.4312547648235</v>
      </c>
      <c r="W72" s="105"/>
      <c r="X72" s="104">
        <f>+(X69*X80)*(V72/V79)</f>
        <v>42.529874629910026</v>
      </c>
      <c r="Y72" s="104">
        <f>+(Y69*Y80)*(X72/X79)</f>
        <v>41.559134329347749</v>
      </c>
      <c r="Z72" s="104">
        <f>+(Z69*Z80)*(Y72/Y79)</f>
        <v>42.963863444937402</v>
      </c>
      <c r="AA72" s="104">
        <f>+(AA69*AA80)*(Z72/Z79)</f>
        <v>43.544282321142077</v>
      </c>
      <c r="AB72" s="105"/>
    </row>
    <row r="73" spans="1:28" outlineLevel="1" x14ac:dyDescent="0.25">
      <c r="A73" s="213"/>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40">
        <v>176.54828073622357</v>
      </c>
      <c r="V73" s="240">
        <v>183.35557343127246</v>
      </c>
      <c r="W73" s="20"/>
      <c r="X73" s="240">
        <v>187.7684259720105</v>
      </c>
      <c r="Y73" s="240">
        <v>192.97476749082676</v>
      </c>
      <c r="Z73" s="240">
        <v>192.12812351594783</v>
      </c>
      <c r="AA73" s="240">
        <v>192.43175451774599</v>
      </c>
      <c r="AB73" s="20"/>
    </row>
    <row r="74" spans="1:28" outlineLevel="1" x14ac:dyDescent="0.25">
      <c r="A74" s="213"/>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56.828499552585896</v>
      </c>
      <c r="V74" s="104">
        <f t="shared" si="132"/>
        <v>57.520754201501489</v>
      </c>
      <c r="W74" s="105"/>
      <c r="X74" s="104">
        <f>+(X69*X80)*(V74/V79)</f>
        <v>60.506419576573045</v>
      </c>
      <c r="Y74" s="104">
        <f>+(Y69*Y80)*(X74/X79)</f>
        <v>59.125366365463833</v>
      </c>
      <c r="Z74" s="104">
        <f t="shared" ref="Z74:AA74" si="133">+(Z69*Z80)*(Y74/Y79)</f>
        <v>61.12384696290065</v>
      </c>
      <c r="AA74" s="104">
        <f t="shared" si="133"/>
        <v>61.949597529047509</v>
      </c>
      <c r="AB74" s="105"/>
    </row>
    <row r="75" spans="1:28" ht="17.25" outlineLevel="1" x14ac:dyDescent="0.4">
      <c r="A75" s="213"/>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18.736932823497522</v>
      </c>
      <c r="V75" s="156">
        <f>+(V69*V80)*(U75/U79)</f>
        <v>18.96517620411824</v>
      </c>
      <c r="W75" s="171"/>
      <c r="X75" s="156">
        <f>+(X69*X80)*(V75/V79)</f>
        <v>19.949580367638209</v>
      </c>
      <c r="Y75" s="156">
        <f>+(Y69*Y80)*(X75/X79)</f>
        <v>19.49423311325075</v>
      </c>
      <c r="Z75" s="156">
        <f t="shared" ref="Z75" si="135">+(Z69*Z80)*(Y75/Y79)</f>
        <v>20.153152440666513</v>
      </c>
      <c r="AA75" s="156">
        <f>+(AA69*AA80)*(Z75/Z79)</f>
        <v>20.425410779504791</v>
      </c>
      <c r="AB75" s="171"/>
    </row>
    <row r="76" spans="1:28" outlineLevel="1" x14ac:dyDescent="0.25">
      <c r="A76" s="213"/>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3508.2220171869212</v>
      </c>
      <c r="V76" s="106">
        <f t="shared" ref="V76" si="142">SUM(V70:V75)</f>
        <v>3555.6139927591548</v>
      </c>
      <c r="W76" s="20"/>
      <c r="X76" s="106">
        <f t="shared" ref="X76" si="143">SUM(X70:X75)</f>
        <v>3735.0668867275476</v>
      </c>
      <c r="Y76" s="106">
        <f t="shared" ref="Y76" si="144">SUM(Y70:Y75)</f>
        <v>3659.3064818370958</v>
      </c>
      <c r="Z76" s="106">
        <f t="shared" ref="Z76" si="145">SUM(Z70:Z75)</f>
        <v>3775.6243833228154</v>
      </c>
      <c r="AA76" s="106">
        <f t="shared" ref="AA76" si="146">SUM(AA70:AA75)</f>
        <v>3824.339137189912</v>
      </c>
      <c r="AB76" s="20"/>
    </row>
    <row r="77" spans="1:28" outlineLevel="1" x14ac:dyDescent="0.25">
      <c r="A77" s="213"/>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4">
        <f>SUM(I77:L77)</f>
        <v>3653.4</v>
      </c>
      <c r="N77" s="157">
        <f>+N69-N76</f>
        <v>977.70000000000027</v>
      </c>
      <c r="O77" s="157">
        <f t="shared" ref="O77:P77" si="148">+O69-O76</f>
        <v>801.29999999999973</v>
      </c>
      <c r="P77" s="157">
        <f t="shared" si="148"/>
        <v>906.80000000000018</v>
      </c>
      <c r="Q77" s="157">
        <f t="shared" ref="Q77" si="149">+Q69-Q76</f>
        <v>928.49999999999955</v>
      </c>
      <c r="R77" s="204">
        <f>SUM(N77:Q77)</f>
        <v>3614.2999999999997</v>
      </c>
      <c r="S77" s="157">
        <f t="shared" ref="S77" si="150">+S69-S76</f>
        <v>1011.5</v>
      </c>
      <c r="T77" s="157">
        <f t="shared" ref="T77" si="151">+T69-T76</f>
        <v>899</v>
      </c>
      <c r="U77" s="157">
        <f t="shared" ref="U77" si="152">+U69-U76</f>
        <v>987.96386196381627</v>
      </c>
      <c r="V77" s="157">
        <f t="shared" ref="V77" si="153">+V69-V76</f>
        <v>1007.658563841499</v>
      </c>
      <c r="W77" s="204">
        <f>SUM(S77:V77)</f>
        <v>3906.1224258053153</v>
      </c>
      <c r="X77" s="157">
        <f t="shared" ref="X77" si="154">+X69-X76</f>
        <v>1080.0840494029321</v>
      </c>
      <c r="Y77" s="157">
        <f t="shared" ref="Y77" si="155">+Y69-Y76</f>
        <v>1002.9544565511878</v>
      </c>
      <c r="Z77" s="157">
        <f t="shared" ref="Z77" si="156">+Z69-Z76</f>
        <v>1106.5231096020725</v>
      </c>
      <c r="AA77" s="157">
        <f t="shared" ref="AA77" si="157">+AA69-AA76</f>
        <v>1144.0704150291936</v>
      </c>
      <c r="AB77" s="204">
        <f>SUM(X77:AA77)</f>
        <v>4333.632030585386</v>
      </c>
    </row>
    <row r="78" spans="1:28" outlineLevel="1" x14ac:dyDescent="0.25">
      <c r="A78" s="213"/>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5">
        <f>M77/M69</f>
        <v>0.23389394298298966</v>
      </c>
      <c r="N78" s="158">
        <f>+N77/N69</f>
        <v>0.22963641488162351</v>
      </c>
      <c r="O78" s="158">
        <f t="shared" ref="O78:P78" si="159">+O77/O69</f>
        <v>0.20051047218677268</v>
      </c>
      <c r="P78" s="158">
        <f t="shared" si="159"/>
        <v>0.21467803030303034</v>
      </c>
      <c r="Q78" s="158">
        <f t="shared" ref="Q78" si="160">+Q77/Q69</f>
        <v>0.21825490103897316</v>
      </c>
      <c r="R78" s="205">
        <f>R77/R69</f>
        <v>0.21600994495610229</v>
      </c>
      <c r="S78" s="158">
        <f t="shared" ref="S78" si="161">+S77/S69</f>
        <v>0.21960486322188449</v>
      </c>
      <c r="T78" s="158">
        <f t="shared" ref="T78" si="162">+T77/T69</f>
        <v>0.20878329733621312</v>
      </c>
      <c r="U78" s="158">
        <f t="shared" ref="U78" si="163">+U77/U69</f>
        <v>0.21973376735715114</v>
      </c>
      <c r="V78" s="158">
        <f t="shared" ref="V78" si="164">+V77/V69</f>
        <v>0.22081928075585741</v>
      </c>
      <c r="W78" s="207">
        <f>W77/W69</f>
        <v>0.21735265254265118</v>
      </c>
      <c r="X78" s="158">
        <f t="shared" ref="X78" si="165">+X77/X69</f>
        <v>0.22430948971890427</v>
      </c>
      <c r="Y78" s="158">
        <f t="shared" ref="Y78" si="166">+Y77/Y69</f>
        <v>0.21512190540281156</v>
      </c>
      <c r="Z78" s="158">
        <f t="shared" ref="Z78" si="167">+Z77/Z69</f>
        <v>0.22664680065598675</v>
      </c>
      <c r="AA78" s="158">
        <f t="shared" ref="AA78" si="168">+AA77/AA69</f>
        <v>0.23026894280850951</v>
      </c>
      <c r="AB78" s="205">
        <f>AB77/AB69</f>
        <v>0.2242155939197879</v>
      </c>
    </row>
    <row r="79" spans="1:28" s="160" customFormat="1" outlineLevel="1" x14ac:dyDescent="0.25">
      <c r="A79" s="229"/>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3331.6737364506976</v>
      </c>
      <c r="V79" s="130">
        <f t="shared" si="169"/>
        <v>3372.2584193278822</v>
      </c>
      <c r="W79" s="133"/>
      <c r="X79" s="130">
        <f t="shared" ref="X79" si="170">+X76-X73</f>
        <v>3547.2984607555372</v>
      </c>
      <c r="Y79" s="130">
        <f t="shared" ref="Y79:AA79" si="171">+Y76-Y73</f>
        <v>3466.3317143462691</v>
      </c>
      <c r="Z79" s="130">
        <f t="shared" si="171"/>
        <v>3583.4962598068678</v>
      </c>
      <c r="AA79" s="130">
        <f t="shared" si="171"/>
        <v>3631.907382672166</v>
      </c>
      <c r="AB79" s="163"/>
    </row>
    <row r="80" spans="1:28" s="160" customFormat="1" outlineLevel="1" x14ac:dyDescent="0.25">
      <c r="A80" s="229"/>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f>AVERAGE(N80:Q80)</f>
        <v>0.74605223727241832</v>
      </c>
      <c r="S80" s="166">
        <f t="shared" si="172"/>
        <v>0.74439861050803291</v>
      </c>
      <c r="T80" s="166">
        <f t="shared" si="172"/>
        <v>0.75157342251329573</v>
      </c>
      <c r="U80" s="168">
        <v>0.74099999999999999</v>
      </c>
      <c r="V80" s="168">
        <v>0.73899999999999999</v>
      </c>
      <c r="W80" s="167"/>
      <c r="X80" s="168">
        <v>0.73669517483624181</v>
      </c>
      <c r="Y80" s="168">
        <v>0.74348728227651695</v>
      </c>
      <c r="Z80" s="168">
        <v>0.73399999999999999</v>
      </c>
      <c r="AA80" s="168">
        <v>0.73099999999999998</v>
      </c>
      <c r="AB80" s="163"/>
    </row>
    <row r="81" spans="1:28" ht="18" x14ac:dyDescent="0.4">
      <c r="B81" s="245" t="s">
        <v>106</v>
      </c>
      <c r="C81" s="246"/>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57" t="s">
        <v>107</v>
      </c>
      <c r="C82" s="258"/>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5708</v>
      </c>
      <c r="V82" s="37">
        <f t="shared" ref="V82" si="174">+U82+V83</f>
        <v>5948</v>
      </c>
      <c r="W82" s="115"/>
      <c r="X82" s="37">
        <f>+V82+X83</f>
        <v>6145.25</v>
      </c>
      <c r="Y82" s="37">
        <f>+X82+Y83</f>
        <v>6344.0625</v>
      </c>
      <c r="Z82" s="37">
        <f t="shared" ref="Z82" si="175">+Y82+Z83</f>
        <v>6559.328125</v>
      </c>
      <c r="AA82" s="37">
        <f t="shared" ref="AA82" si="176">+Z82+AA83</f>
        <v>6772.16015625</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6">
        <v>133</v>
      </c>
      <c r="U83" s="53">
        <v>225</v>
      </c>
      <c r="V83" s="53">
        <v>240</v>
      </c>
      <c r="W83" s="44">
        <f>+SUM(S83:V83)</f>
        <v>789</v>
      </c>
      <c r="X83" s="53">
        <f>AVERAGE(S83,T83,U83,V83)</f>
        <v>197.25</v>
      </c>
      <c r="Y83" s="53">
        <f>AVERAGE(T83,U83,V83,X83)</f>
        <v>198.8125</v>
      </c>
      <c r="Z83" s="53">
        <f>AVERAGE(U83,V83,X83,Y83)</f>
        <v>215.265625</v>
      </c>
      <c r="AA83" s="53">
        <f>AVERAGE(V83,X83,Y83,Z83)</f>
        <v>212.83203125</v>
      </c>
      <c r="AB83" s="44">
        <f>+SUM(X83:AA83)</f>
        <v>824.16015625</v>
      </c>
    </row>
    <row r="84" spans="1:28" s="127" customFormat="1" outlineLevel="1" x14ac:dyDescent="0.25">
      <c r="A84" s="233"/>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5708</v>
      </c>
      <c r="AA84" s="132">
        <f>V82</f>
        <v>5948</v>
      </c>
      <c r="AB84" s="133"/>
    </row>
    <row r="85" spans="1:28" s="127" customFormat="1" outlineLevel="1" x14ac:dyDescent="0.25">
      <c r="A85" s="233"/>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0.23321412955839727</v>
      </c>
      <c r="V85" s="134">
        <f t="shared" ref="V85" si="179">+Q85*(1+V88)</f>
        <v>0.21991300002101502</v>
      </c>
      <c r="W85" s="133"/>
      <c r="X85" s="134">
        <f>+S85*(1+X88)</f>
        <v>0.22315995450000001</v>
      </c>
      <c r="Y85" s="134">
        <f>+T85*(1+Y88)</f>
        <v>0.22247002163992696</v>
      </c>
      <c r="Z85" s="134">
        <f t="shared" ref="Z85" si="180">+U85*(1+Z88)</f>
        <v>0.2382792489347437</v>
      </c>
      <c r="AA85" s="134">
        <f t="shared" ref="AA85" si="181">+V85*(1+AA88)</f>
        <v>0.22467377285740744</v>
      </c>
      <c r="AB85" s="133"/>
    </row>
    <row r="86" spans="1:28" outlineLevel="1" x14ac:dyDescent="0.25">
      <c r="A86" s="213"/>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3"/>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8"/>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7">
        <v>0.02</v>
      </c>
      <c r="U88" s="237">
        <v>2.1999999999999999E-2</v>
      </c>
      <c r="V88" s="125">
        <v>1.4E-2</v>
      </c>
      <c r="W88" s="122"/>
      <c r="X88" s="125">
        <f>AVERAGE(V88,U88,T88,S88)</f>
        <v>2.1499999999999998E-2</v>
      </c>
      <c r="Y88" s="125">
        <f>AVERAGE(X88,V88,U88,T88)+1%</f>
        <v>2.9374999999999998E-2</v>
      </c>
      <c r="Z88" s="125">
        <f>AVERAGE(Y88,X88,V88,U88)</f>
        <v>2.1718750000000002E-2</v>
      </c>
      <c r="AA88" s="125">
        <f>AVERAGE(Z88,Y88,X88,V88)</f>
        <v>2.1648437499999999E-2</v>
      </c>
      <c r="AB88" s="122"/>
    </row>
    <row r="89" spans="1:28" ht="17.25" outlineLevel="1" x14ac:dyDescent="0.4">
      <c r="A89" s="213"/>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8"/>
      <c r="B90" s="251" t="s">
        <v>108</v>
      </c>
      <c r="C90" s="252"/>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1283.970381153707</v>
      </c>
      <c r="V90" s="106">
        <f t="shared" ref="V90" si="183">+V84*V85+V89</f>
        <v>1257.3283971908631</v>
      </c>
      <c r="W90" s="124"/>
      <c r="X90" s="106">
        <f>+X84*X85+X89</f>
        <v>1316.7029866574467</v>
      </c>
      <c r="Y90" s="106">
        <f>+Y84*Y85+Y89</f>
        <v>1347.9546942921613</v>
      </c>
      <c r="Z90" s="106">
        <f t="shared" ref="Z90" si="184">+Z84*Z85+Z89</f>
        <v>1484.2337668914624</v>
      </c>
      <c r="AA90" s="106">
        <f t="shared" ref="AA90" si="185">+AA84*AA85+AA89</f>
        <v>1460.8300609001797</v>
      </c>
      <c r="AB90" s="124"/>
    </row>
    <row r="91" spans="1:28" s="22" customFormat="1" outlineLevel="1" x14ac:dyDescent="0.25">
      <c r="A91" s="228"/>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0.22494225318039715</v>
      </c>
      <c r="V91" s="140">
        <f t="shared" ref="V91" si="196">+V90/V82</f>
        <v>0.21138675137707855</v>
      </c>
      <c r="W91" s="124"/>
      <c r="X91" s="140">
        <f t="shared" ref="X91" si="197">+X90/X82</f>
        <v>0.21426353470687876</v>
      </c>
      <c r="Y91" s="140">
        <f t="shared" ref="Y91" si="198">+Y90/Y82</f>
        <v>0.21247500230209923</v>
      </c>
      <c r="Z91" s="140">
        <f t="shared" ref="Z91" si="199">+Z90/Z82</f>
        <v>0.22627832281091478</v>
      </c>
      <c r="AA91" s="140">
        <f t="shared" ref="AA91" si="200">+AA90/AA82</f>
        <v>0.21571109176323677</v>
      </c>
      <c r="AB91" s="124"/>
    </row>
    <row r="92" spans="1:28" s="127" customFormat="1" outlineLevel="1" x14ac:dyDescent="0.25">
      <c r="A92" s="233"/>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8"/>
      <c r="B93" s="259" t="s">
        <v>109</v>
      </c>
      <c r="C93" s="260"/>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3732</v>
      </c>
      <c r="W93" s="144"/>
      <c r="X93" s="142">
        <f>+V93+X94</f>
        <v>3822.25</v>
      </c>
      <c r="Y93" s="142">
        <f>+X93+Y94</f>
        <v>3918.0625</v>
      </c>
      <c r="Z93" s="142">
        <f t="shared" ref="Z93" si="203">+Y93+Z94</f>
        <v>4020.078125</v>
      </c>
      <c r="AA93" s="142">
        <f t="shared" ref="AA93" si="204">+Z93+AA94</f>
        <v>4120.09765625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6">
        <v>71</v>
      </c>
      <c r="U94" s="53">
        <v>110</v>
      </c>
      <c r="V94" s="53">
        <v>112</v>
      </c>
      <c r="W94" s="44">
        <f>+SUM(S94:V94)</f>
        <v>361</v>
      </c>
      <c r="X94" s="53">
        <f>AVERAGE(S94,T94,U94,V94)</f>
        <v>90.25</v>
      </c>
      <c r="Y94" s="53">
        <f>AVERAGE(T94,U94,V94,X94)</f>
        <v>95.8125</v>
      </c>
      <c r="Z94" s="53">
        <f>AVERAGE(U94,V94,X94,Y94)</f>
        <v>102.015625</v>
      </c>
      <c r="AA94" s="53">
        <f>AVERAGE(V94,X94,Y94,Z94)</f>
        <v>100.01953125</v>
      </c>
      <c r="AB94" s="44">
        <f>+SUM(X94:AA94)</f>
        <v>388.09765625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3676</v>
      </c>
      <c r="W95" s="44"/>
      <c r="X95" s="30">
        <f>AVERAGE(X93,V93)</f>
        <v>3777.125</v>
      </c>
      <c r="Y95" s="30">
        <f>AVERAGE(Y93,X93)</f>
        <v>3870.15625</v>
      </c>
      <c r="Z95" s="30">
        <f t="shared" ref="Z95:AA95" si="209">AVERAGE(Z93,Y93)</f>
        <v>3969.0703125</v>
      </c>
      <c r="AA95" s="30">
        <f t="shared" si="209"/>
        <v>4070.087890625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61" t="s">
        <v>112</v>
      </c>
      <c r="C97" s="262"/>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104.96850090307045</v>
      </c>
      <c r="W97" s="153"/>
      <c r="X97" s="151">
        <f>+X95*X96</f>
        <v>114.37090128487519</v>
      </c>
      <c r="Y97" s="151">
        <f>+Y95*Y96</f>
        <v>113.81122031947044</v>
      </c>
      <c r="Z97" s="151">
        <f t="shared" ref="Z97" si="216">+Z95*Z96</f>
        <v>116.46263634691763</v>
      </c>
      <c r="AA97" s="151">
        <f t="shared" ref="AA97" si="217">+AA95*AA96</f>
        <v>119.70836647315718</v>
      </c>
      <c r="AB97" s="153"/>
    </row>
    <row r="98" spans="2:28" s="22" customFormat="1" outlineLevel="1" x14ac:dyDescent="0.25">
      <c r="B98" s="251" t="s">
        <v>113</v>
      </c>
      <c r="C98" s="252"/>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9328</v>
      </c>
      <c r="V100" s="30">
        <f t="shared" si="225"/>
        <v>9680</v>
      </c>
      <c r="W100" s="44"/>
      <c r="X100" s="30">
        <f>+X93+X82</f>
        <v>9967.5</v>
      </c>
      <c r="Y100" s="30">
        <f t="shared" ref="Y100:AA100" si="226">+Y93+Y82</f>
        <v>10262.125</v>
      </c>
      <c r="Z100" s="30">
        <f t="shared" si="226"/>
        <v>10579.40625</v>
      </c>
      <c r="AA100" s="30">
        <f t="shared" si="226"/>
        <v>10892.2578125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335</v>
      </c>
      <c r="V101" s="30">
        <f t="shared" si="227"/>
        <v>352</v>
      </c>
      <c r="W101" s="200">
        <f>+W94+W83</f>
        <v>1150</v>
      </c>
      <c r="X101" s="30">
        <f>+X94+X83</f>
        <v>287.5</v>
      </c>
      <c r="Y101" s="30">
        <f t="shared" ref="Y101:AA101" si="228">+Y94+Y83</f>
        <v>294.625</v>
      </c>
      <c r="Z101" s="30">
        <f t="shared" si="228"/>
        <v>317.28125</v>
      </c>
      <c r="AA101" s="30">
        <f t="shared" si="228"/>
        <v>312.8515625</v>
      </c>
      <c r="AB101" s="44">
        <f>+AB94+AB83</f>
        <v>1212.2578125</v>
      </c>
    </row>
    <row r="102" spans="2:28" outlineLevel="1" x14ac:dyDescent="0.25">
      <c r="B102" s="253" t="s">
        <v>116</v>
      </c>
      <c r="C102" s="254"/>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1389.0097828896028</v>
      </c>
      <c r="V102" s="151">
        <f t="shared" si="231"/>
        <v>1365.6318980939336</v>
      </c>
      <c r="W102" s="154">
        <f>SUM(S102:V102)</f>
        <v>5271.041680983536</v>
      </c>
      <c r="X102" s="151">
        <f>+X98+X97+X90</f>
        <v>1434.6988879423218</v>
      </c>
      <c r="Y102" s="151">
        <f t="shared" ref="Y102:AA102" si="232">+Y98+Y97+Y90</f>
        <v>1468.1459146116317</v>
      </c>
      <c r="Z102" s="151">
        <f t="shared" si="232"/>
        <v>1605.7424032383801</v>
      </c>
      <c r="AA102" s="151">
        <f t="shared" si="232"/>
        <v>1585.3741773733368</v>
      </c>
      <c r="AB102" s="154">
        <f>SUM(X102:AA102)</f>
        <v>6093.9613831656698</v>
      </c>
    </row>
    <row r="103" spans="2:28" outlineLevel="1" x14ac:dyDescent="0.25">
      <c r="B103" s="255" t="s">
        <v>73</v>
      </c>
      <c r="C103" s="256"/>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577.52652074684772</v>
      </c>
      <c r="V103" s="104">
        <f>+(V102*V114)*(U103/U113)</f>
        <v>569.36630360610627</v>
      </c>
      <c r="W103" s="170"/>
      <c r="X103" s="104">
        <f>+(X102*X114)*(V103/V113)</f>
        <v>602.15386570847636</v>
      </c>
      <c r="Y103" s="104">
        <f>+(Y102*Y114)*(X103/X113)</f>
        <v>623.20180317701113</v>
      </c>
      <c r="Z103" s="104">
        <f>+(Z102*Z114)*(Y103/Y113)</f>
        <v>667.64023895406149</v>
      </c>
      <c r="AA103" s="104">
        <f>+(AA102*AA114)*(Z103/Z113)</f>
        <v>660.98238951763233</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365.28130268728796</v>
      </c>
      <c r="V104" s="104">
        <f>+(V102*V114)*(U104/U113)</f>
        <v>360.12002499647912</v>
      </c>
      <c r="W104" s="105"/>
      <c r="X104" s="104">
        <f>+(X102*X114)*(V104/V113)</f>
        <v>380.85791835106659</v>
      </c>
      <c r="Y104" s="104">
        <f>+(Y102*Y114)*(X104/X113)</f>
        <v>394.17058494072285</v>
      </c>
      <c r="Z104" s="104">
        <f>+(Z102*Z114)*(Y104/Y113)</f>
        <v>422.27757072734033</v>
      </c>
      <c r="AA104" s="104">
        <f>+(AA102*AA114)*(Z104/Z113)</f>
        <v>418.06652962728901</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5.4881906211323246</v>
      </c>
      <c r="V105" s="104">
        <f>+(V102*V114)*(U105/U113)</f>
        <v>5.410644698011243</v>
      </c>
      <c r="W105" s="105"/>
      <c r="X105" s="104">
        <f>+(X102*X114)*(V105/V113)</f>
        <v>5.7222224080483857</v>
      </c>
      <c r="Y105" s="104">
        <f>+(Y102*Y114)*(X105/X113)</f>
        <v>5.9222393576762746</v>
      </c>
      <c r="Z105" s="104">
        <f>+(Z102*Z114)*(Y105/Y113)</f>
        <v>6.3445344345049692</v>
      </c>
      <c r="AA105" s="104">
        <f>+(AA102*AA114)*(Z105/Z113)</f>
        <v>6.2812653974628798</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40">
        <v>123.31235765</v>
      </c>
      <c r="V106" s="240">
        <v>121</v>
      </c>
      <c r="W106" s="20"/>
      <c r="X106" s="240">
        <v>133.53888056826057</v>
      </c>
      <c r="Y106" s="240">
        <v>137.2415745365341</v>
      </c>
      <c r="Z106" s="240">
        <v>136.63945046769811</v>
      </c>
      <c r="AA106" s="240">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62.90310788836279</v>
      </c>
      <c r="V107" s="104">
        <f t="shared" si="233"/>
        <v>62.014312307975018</v>
      </c>
      <c r="W107" s="105"/>
      <c r="X107" s="104">
        <f>+(X102*X114)*(V107/V113)</f>
        <v>65.585472215323804</v>
      </c>
      <c r="Y107" s="104">
        <f>+(Y102*Y114)*(X107/X113)</f>
        <v>67.877974176443459</v>
      </c>
      <c r="Z107" s="104">
        <f t="shared" ref="Z107:AA107" si="234">+(Z102*Z114)*(Y107/Y113)</f>
        <v>72.718125441633873</v>
      </c>
      <c r="AA107" s="104">
        <f t="shared" si="234"/>
        <v>71.992964940151467</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1134.5114795936306</v>
      </c>
      <c r="V109" s="106">
        <f t="shared" ref="V109" si="246">SUM(V103:V108)</f>
        <v>1117.9112856085715</v>
      </c>
      <c r="W109" s="20"/>
      <c r="X109" s="106">
        <f t="shared" ref="X109" si="247">SUM(X103:X108)</f>
        <v>1187.8583592511757</v>
      </c>
      <c r="Y109" s="106">
        <f t="shared" ref="Y109" si="248">SUM(Y103:Y108)</f>
        <v>1228.414176188388</v>
      </c>
      <c r="Z109" s="106">
        <f t="shared" ref="Z109" si="249">SUM(Z103:Z108)</f>
        <v>1305.6199200252388</v>
      </c>
      <c r="AA109" s="106">
        <f t="shared" ref="AA109" si="250">SUM(AA103:AA108)</f>
        <v>1294.1785390458303</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8">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4">
        <f>SUM(I111:L111)</f>
        <v>764.79999999999984</v>
      </c>
      <c r="N111" s="157">
        <f>+N102-N109+N110</f>
        <v>196.8</v>
      </c>
      <c r="O111" s="157">
        <f t="shared" ref="O111:AA111" si="252">+O102-O109+O110</f>
        <v>204.59999999999974</v>
      </c>
      <c r="P111" s="157">
        <f t="shared" si="252"/>
        <v>234.10000000000002</v>
      </c>
      <c r="Q111" s="157">
        <f t="shared" si="252"/>
        <v>232.19999999999993</v>
      </c>
      <c r="R111" s="204">
        <f>SUM(N111:Q111)</f>
        <v>867.6999999999997</v>
      </c>
      <c r="S111" s="157">
        <f t="shared" si="252"/>
        <v>221.49999999999991</v>
      </c>
      <c r="T111" s="157">
        <f t="shared" si="252"/>
        <v>231.6999999999999</v>
      </c>
      <c r="U111" s="157">
        <f t="shared" si="252"/>
        <v>279.12330329597216</v>
      </c>
      <c r="V111" s="157">
        <f t="shared" si="252"/>
        <v>272.62686248536215</v>
      </c>
      <c r="W111" s="204">
        <f>SUM(S111:V111)</f>
        <v>1004.9501657813341</v>
      </c>
      <c r="X111" s="157">
        <f t="shared" si="252"/>
        <v>271.34834119114612</v>
      </c>
      <c r="Y111" s="157">
        <f t="shared" si="252"/>
        <v>263.76650404824375</v>
      </c>
      <c r="Z111" s="157">
        <f t="shared" si="252"/>
        <v>324.64094024439135</v>
      </c>
      <c r="AA111" s="157">
        <f t="shared" si="252"/>
        <v>315.68745961656896</v>
      </c>
      <c r="AB111" s="204">
        <f>SUM(X111:AA111)</f>
        <v>1175.4432451003502</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5">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5">
        <f>R111/R102</f>
        <v>0.19395578603840216</v>
      </c>
      <c r="S112" s="158">
        <f t="shared" ref="S112" si="260">+S111/S102</f>
        <v>0.18047747087101762</v>
      </c>
      <c r="T112" s="158">
        <f t="shared" ref="T112" si="261">+T111/T102</f>
        <v>0.17973780156698466</v>
      </c>
      <c r="U112" s="158">
        <f t="shared" ref="U112" si="262">+U111/U102</f>
        <v>0.20095128683348995</v>
      </c>
      <c r="V112" s="158">
        <f t="shared" ref="V112" si="263">+V111/V102</f>
        <v>0.19963422271102355</v>
      </c>
      <c r="W112" s="207">
        <f>W111/W102</f>
        <v>0.19065494575899808</v>
      </c>
      <c r="X112" s="158">
        <f t="shared" ref="X112" si="264">+X111/X102</f>
        <v>0.18913260717746855</v>
      </c>
      <c r="Y112" s="158">
        <f t="shared" ref="Y112" si="265">+Y111/Y102</f>
        <v>0.17965959747128937</v>
      </c>
      <c r="Z112" s="158">
        <f t="shared" ref="Z112" si="266">+Z111/Z102</f>
        <v>0.20217498123588934</v>
      </c>
      <c r="AA112" s="158">
        <f t="shared" ref="AA112" si="267">+AA111/AA102</f>
        <v>0.19912489059182417</v>
      </c>
      <c r="AB112" s="205">
        <f>AB111/AB102</f>
        <v>0.19288655952882575</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1011.1991219436306</v>
      </c>
      <c r="V113" s="130">
        <f t="shared" si="270"/>
        <v>996.91128560857146</v>
      </c>
      <c r="W113" s="133"/>
      <c r="X113" s="130">
        <f t="shared" ref="X113:AA113" si="271">+X109-X106</f>
        <v>1054.3194786829151</v>
      </c>
      <c r="Y113" s="130">
        <f t="shared" si="271"/>
        <v>1091.1726016518539</v>
      </c>
      <c r="Z113" s="130">
        <f t="shared" si="271"/>
        <v>1168.9804695575408</v>
      </c>
      <c r="AA113" s="130">
        <f t="shared" si="271"/>
        <v>1157.3231494825359</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243">
        <f>AVERAGE(O114:R114)</f>
        <v>0.73487160793373452</v>
      </c>
      <c r="T114" s="244">
        <f t="shared" ref="T114" si="279">+T113/T102</f>
        <v>0.74323171204716476</v>
      </c>
      <c r="U114" s="168">
        <v>0.72799999999999998</v>
      </c>
      <c r="V114" s="168">
        <v>0.73</v>
      </c>
      <c r="W114" s="167"/>
      <c r="X114" s="168">
        <f>+S114</f>
        <v>0.73487160793373452</v>
      </c>
      <c r="Y114" s="168">
        <f>+T114</f>
        <v>0.74323171204716476</v>
      </c>
      <c r="Z114" s="168">
        <f>+U114</f>
        <v>0.72799999999999998</v>
      </c>
      <c r="AA114" s="168">
        <f>+V114</f>
        <v>0.73</v>
      </c>
      <c r="AB114" s="163"/>
    </row>
    <row r="115" spans="1:28" ht="18" x14ac:dyDescent="0.4">
      <c r="B115" s="245" t="s">
        <v>121</v>
      </c>
      <c r="C115" s="246"/>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8"/>
      <c r="B116" s="257" t="s">
        <v>120</v>
      </c>
      <c r="C116" s="258"/>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6">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0.29039768235716851</v>
      </c>
      <c r="V119" s="134">
        <f t="shared" ref="V119" si="297">+Q119*(1+V122)</f>
        <v>0.29380708864541827</v>
      </c>
      <c r="W119" s="133"/>
      <c r="X119" s="134">
        <f>+S119*(1+X122)</f>
        <v>0.30140841333230212</v>
      </c>
      <c r="Y119" s="134">
        <f>+T119*(1+Y122)</f>
        <v>0.2226121256939925</v>
      </c>
      <c r="Z119" s="134">
        <f t="shared" ref="Z119" si="298">+U119*(1+Z122)</f>
        <v>0.29540023618214944</v>
      </c>
      <c r="AA119" s="134">
        <f t="shared" ref="AA119" si="299">+V119*(1+AA122)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7">
        <v>0.02</v>
      </c>
      <c r="U122" s="125">
        <f>AVERAGE(T122,S122,Q122,P122)</f>
        <v>0.01</v>
      </c>
      <c r="V122" s="125">
        <f>AVERAGE(U122,T122,S122,Q122)</f>
        <v>1.2500000000000001E-2</v>
      </c>
      <c r="W122" s="122"/>
      <c r="X122" s="237">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51" t="s">
        <v>122</v>
      </c>
      <c r="C124" s="252"/>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142.14701705790878</v>
      </c>
      <c r="V124" s="106">
        <f t="shared" ref="V124" si="301">+V118*V119+V123</f>
        <v>142.32294379397064</v>
      </c>
      <c r="W124" s="124"/>
      <c r="X124" s="106">
        <f>+X118*X119+X123</f>
        <v>145.60518421956758</v>
      </c>
      <c r="Y124" s="106">
        <f>+Y118*Y119+Y123</f>
        <v>86.966706694325978</v>
      </c>
      <c r="Z124" s="106">
        <f t="shared" ref="Z124" si="302">+Z118*Z119+Z123</f>
        <v>107.1592060077204</v>
      </c>
      <c r="AA124" s="106">
        <f t="shared" ref="AA124" si="303">+AA118*AA119+AA123</f>
        <v>101.30122660486576</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0.38732157236487408</v>
      </c>
      <c r="V125" s="140">
        <f t="shared" ref="V125" si="314">+V124/V116</f>
        <v>0.41614895846190247</v>
      </c>
      <c r="W125" s="124"/>
      <c r="X125" s="140">
        <f t="shared" ref="X125" si="315">+X124/X116</f>
        <v>0.47739404662153306</v>
      </c>
      <c r="Y125" s="140">
        <f t="shared" ref="Y125" si="316">+Y124/Y116</f>
        <v>0.33513181770453171</v>
      </c>
      <c r="Z125" s="140">
        <f t="shared" ref="Z125" si="317">+Z124/Z116</f>
        <v>0.47337031919478917</v>
      </c>
      <c r="AA125" s="140">
        <f t="shared" ref="AA125" si="318">+AA124/AA116</f>
        <v>0.52976617933579084</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6">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59" t="s">
        <v>123</v>
      </c>
      <c r="C127" s="260"/>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3221</v>
      </c>
      <c r="V127" s="142">
        <f t="shared" ref="V127" si="320">+U127+V128</f>
        <v>3378</v>
      </c>
      <c r="W127" s="144"/>
      <c r="X127" s="142">
        <f>+V127+X128</f>
        <v>3403</v>
      </c>
      <c r="Y127" s="142">
        <f>+X127+Y128</f>
        <v>3428</v>
      </c>
      <c r="Z127" s="142">
        <f t="shared" ref="Z127" si="321">+Y127+Z128</f>
        <v>3453</v>
      </c>
      <c r="AA127" s="142">
        <f t="shared" ref="AA127" si="322">+Z127+AA128</f>
        <v>3478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6">
        <v>142</v>
      </c>
      <c r="U128" s="53">
        <v>145</v>
      </c>
      <c r="V128" s="53">
        <v>157</v>
      </c>
      <c r="W128" s="44">
        <f>+SUM(S128:V128)</f>
        <v>548</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3148.5</v>
      </c>
      <c r="V129" s="30">
        <f t="shared" si="326"/>
        <v>3299.5</v>
      </c>
      <c r="W129" s="44"/>
      <c r="X129" s="30">
        <f>AVERAGE(X127,V127)</f>
        <v>3390.5</v>
      </c>
      <c r="Y129" s="30">
        <f>AVERAGE(Y127,X127)</f>
        <v>3415.5</v>
      </c>
      <c r="Z129" s="30">
        <f t="shared" ref="Z129:AA129" si="327">AVERAGE(Z127,Y127)</f>
        <v>3440.5</v>
      </c>
      <c r="AA129" s="30">
        <f t="shared" si="327"/>
        <v>3465.5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61" t="s">
        <v>124</v>
      </c>
      <c r="C131" s="262"/>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140.79141509433961</v>
      </c>
      <c r="V131" s="151">
        <f t="shared" ref="V131" si="333">+V129*V130</f>
        <v>150.54390737749057</v>
      </c>
      <c r="W131" s="153"/>
      <c r="X131" s="151">
        <f>+X129*X130</f>
        <v>148.31614018043027</v>
      </c>
      <c r="Y131" s="151">
        <f>+Y129*Y130</f>
        <v>135.8016439267887</v>
      </c>
      <c r="Z131" s="151">
        <f t="shared" ref="Z131" si="334">+Z129*Z130</f>
        <v>158.46423679245285</v>
      </c>
      <c r="AA131" s="151">
        <f t="shared" ref="AA131" si="335">+AA129*AA130</f>
        <v>162.86140577275174</v>
      </c>
      <c r="AB131" s="153"/>
    </row>
    <row r="132" spans="2:28" s="22" customFormat="1" outlineLevel="1" x14ac:dyDescent="0.25">
      <c r="B132" s="265" t="s">
        <v>125</v>
      </c>
      <c r="C132" s="266"/>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3588</v>
      </c>
      <c r="V134" s="30">
        <f t="shared" si="340"/>
        <v>3720</v>
      </c>
      <c r="W134" s="44"/>
      <c r="X134" s="30">
        <f t="shared" ref="X134:AA135" si="341">+X127+X116</f>
        <v>3708</v>
      </c>
      <c r="Y134" s="30">
        <f t="shared" si="341"/>
        <v>3687.5</v>
      </c>
      <c r="Z134" s="30">
        <f t="shared" si="341"/>
        <v>3679.375</v>
      </c>
      <c r="AA134" s="30">
        <f t="shared" si="341"/>
        <v>3669.21875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120</v>
      </c>
      <c r="V135" s="30">
        <f t="shared" si="340"/>
        <v>132</v>
      </c>
      <c r="W135" s="200">
        <f>+W128+W117</f>
        <v>400</v>
      </c>
      <c r="X135" s="30">
        <f t="shared" si="341"/>
        <v>-12</v>
      </c>
      <c r="Y135" s="30">
        <f t="shared" si="341"/>
        <v>-20.5</v>
      </c>
      <c r="Z135" s="30">
        <f t="shared" si="341"/>
        <v>-8.125</v>
      </c>
      <c r="AA135" s="30">
        <f t="shared" si="341"/>
        <v>-10.15625</v>
      </c>
      <c r="AB135" s="44">
        <f>+AB128+AB117</f>
        <v>-50.78125</v>
      </c>
    </row>
    <row r="136" spans="2:28" outlineLevel="1" x14ac:dyDescent="0.25">
      <c r="B136" s="253" t="s">
        <v>128</v>
      </c>
      <c r="C136" s="254"/>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283.3384321522484</v>
      </c>
      <c r="V136" s="151">
        <f>+V132+V131+V124</f>
        <v>293.13351783812789</v>
      </c>
      <c r="W136" s="154">
        <f>SUM(S136:V136)</f>
        <v>1070.2719499903765</v>
      </c>
      <c r="X136" s="151">
        <f>+X132+X131+X124</f>
        <v>294.45465773333115</v>
      </c>
      <c r="Y136" s="151">
        <f>+Y132+Y131+Y124</f>
        <v>223.30168395444801</v>
      </c>
      <c r="Z136" s="151">
        <f>+Z132+Z131+Z124</f>
        <v>266.15677613350658</v>
      </c>
      <c r="AA136" s="151">
        <f>+AA132+AA131+AA124</f>
        <v>264.51818793317307</v>
      </c>
      <c r="AB136" s="154">
        <f>SUM(X136:AA136)</f>
        <v>1048.4313057544587</v>
      </c>
    </row>
    <row r="137" spans="2:28" outlineLevel="1" x14ac:dyDescent="0.25">
      <c r="B137" s="255" t="s">
        <v>73</v>
      </c>
      <c r="C137" s="256"/>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142.31960080310577</v>
      </c>
      <c r="V137" s="104">
        <f>+(V136*V147)*(U137/U146)</f>
        <v>143.44804922704219</v>
      </c>
      <c r="W137" s="25"/>
      <c r="X137" s="104">
        <f>+(X136*X147)*(V137/V146)</f>
        <v>137.89671954475008</v>
      </c>
      <c r="Y137" s="104">
        <f>+(Y136*Y147)*(X137/X146)</f>
        <v>118.17812196973864</v>
      </c>
      <c r="Z137" s="104">
        <f>+(Z136*Z147)*(Y137/Y146)</f>
        <v>133.68933343291832</v>
      </c>
      <c r="AA137" s="104">
        <f>+(AA136*AA147)*(Z137/Z146)</f>
        <v>129.4448288408947</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55.556654798554561</v>
      </c>
      <c r="V138" s="104">
        <f>+(V136*V147)*(U138/U146)</f>
        <v>55.997162073679256</v>
      </c>
      <c r="W138" s="25"/>
      <c r="X138" s="104">
        <f>+(X136*X147)*(V138/V146)</f>
        <v>53.830114772452262</v>
      </c>
      <c r="Y138" s="104">
        <f>+(Y136*Y147)*(X138/X146)</f>
        <v>46.13265558619365</v>
      </c>
      <c r="Z138" s="104">
        <f>+(Z136*Z147)*(Y138/Y146)</f>
        <v>52.18769660587342</v>
      </c>
      <c r="AA138" s="104">
        <f>+(AA136*AA147)*(Z138/Z146)</f>
        <v>50.530788667126657</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19.85854894927057</v>
      </c>
      <c r="V139" s="104">
        <f>+(V136*V147)*(U139/U146)</f>
        <v>20.016006868889608</v>
      </c>
      <c r="W139" s="25"/>
      <c r="X139" s="104">
        <f>+(X136*X147)*(V139/V146)</f>
        <v>19.241402727174428</v>
      </c>
      <c r="Y139" s="104">
        <f>+(Y136*Y147)*(X139/X146)</f>
        <v>16.489970507405392</v>
      </c>
      <c r="Z139" s="104">
        <f>+(Z136*Z147)*(Y139/Y146)</f>
        <v>18.654325595290924</v>
      </c>
      <c r="AA139" s="104">
        <f>+(AA136*AA147)*(Z139/Z146)</f>
        <v>18.062069140589951</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40">
        <v>7.136397991095154</v>
      </c>
      <c r="V140" s="240">
        <v>7.4115609647087286</v>
      </c>
      <c r="W140" s="25"/>
      <c r="X140" s="240">
        <v>7.5899363749670323</v>
      </c>
      <c r="Y140" s="240">
        <v>7.8003860321423817</v>
      </c>
      <c r="Z140" s="240">
        <v>7.7661631649680132</v>
      </c>
      <c r="AA140" s="240">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17.849052924641999</v>
      </c>
      <c r="V141" s="104">
        <f t="shared" si="342"/>
        <v>17.990577602394826</v>
      </c>
      <c r="W141" s="25"/>
      <c r="X141" s="104">
        <f>+(X136*X147)*(V141/V146)</f>
        <v>17.294356022638919</v>
      </c>
      <c r="Y141" s="104">
        <f>+(Y136*Y147)*(X141/X146)</f>
        <v>14.821342539394129</v>
      </c>
      <c r="Z141" s="104">
        <f t="shared" ref="Z141:AA141" si="343">+(Z136*Z147)*(Y141/Y146)</f>
        <v>16.766685505291246</v>
      </c>
      <c r="AA141" s="104">
        <f t="shared" si="343"/>
        <v>16.234359763268348</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28.487561290322663</v>
      </c>
      <c r="V142" s="156">
        <f>+(V136*V147)*(U142/U146)</f>
        <v>28.71343842501426</v>
      </c>
      <c r="W142" s="25"/>
      <c r="X142" s="156">
        <f>+(X136*X147)*(V142/V146)</f>
        <v>27.602250340768077</v>
      </c>
      <c r="Y142" s="156">
        <f>+(Y136*Y147)*(X142/X146)</f>
        <v>23.655255311218447</v>
      </c>
      <c r="Z142" s="156">
        <f t="shared" ref="Z142" si="345">+(Z136*Z147)*(Y142/Y146)</f>
        <v>26.760074217054242</v>
      </c>
      <c r="AA142" s="156">
        <f>+(AA136*AA147)*(Z142/Z146)</f>
        <v>25.910468231441541</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271.20781675699072</v>
      </c>
      <c r="V143" s="106">
        <f t="shared" ref="V143" si="354">SUM(V137:V142)</f>
        <v>273.57679516172891</v>
      </c>
      <c r="W143" s="159"/>
      <c r="X143" s="106">
        <f t="shared" ref="X143" si="355">SUM(X137:X142)</f>
        <v>263.45477978275079</v>
      </c>
      <c r="Y143" s="106">
        <f t="shared" ref="Y143" si="356">SUM(Y137:Y142)</f>
        <v>227.07773194609263</v>
      </c>
      <c r="Z143" s="106">
        <f t="shared" ref="Z143" si="357">SUM(Z137:Z142)</f>
        <v>255.82427852139614</v>
      </c>
      <c r="AA143" s="106">
        <f t="shared" ref="AA143" si="358">SUM(AA137:AA142)</f>
        <v>247.96095111767647</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6">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6">
        <f>SUM(N144:Q144)</f>
        <v>61.499999999999972</v>
      </c>
      <c r="S144" s="157">
        <f>+S136-S143</f>
        <v>27</v>
      </c>
      <c r="T144" s="157">
        <f>+T136-T143</f>
        <v>-2.8000000000000114</v>
      </c>
      <c r="U144" s="157">
        <f t="shared" ref="U144" si="366">+U136-U143</f>
        <v>12.130615395257678</v>
      </c>
      <c r="V144" s="157">
        <f t="shared" ref="V144" si="367">+V136-V143</f>
        <v>19.556722676398977</v>
      </c>
      <c r="W144" s="206">
        <f>SUM(S144:V144)</f>
        <v>55.887338071656643</v>
      </c>
      <c r="X144" s="157">
        <f t="shared" ref="X144" si="368">+X136-X143</f>
        <v>30.999877950580355</v>
      </c>
      <c r="Y144" s="157">
        <f t="shared" ref="Y144" si="369">+Y136-Y143</f>
        <v>-3.7760479916446172</v>
      </c>
      <c r="Z144" s="157">
        <f t="shared" ref="Z144" si="370">+Z136-Z143</f>
        <v>10.332497612110444</v>
      </c>
      <c r="AA144" s="157">
        <f t="shared" ref="AA144" si="371">+AA136-AA143</f>
        <v>16.557236815496594</v>
      </c>
      <c r="AB144" s="206">
        <f>SUM(X144:AA144)</f>
        <v>54.113564386542777</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5">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5">
        <f>R144/R136</f>
        <v>5.8677607098559278E-2</v>
      </c>
      <c r="S145" s="158">
        <f t="shared" ref="S145" si="379">+S144/S136</f>
        <v>0.10138941043935411</v>
      </c>
      <c r="T145" s="158">
        <f t="shared" ref="T145" si="380">+T144/T136</f>
        <v>-1.2307692307692358E-2</v>
      </c>
      <c r="U145" s="158">
        <f>+U144/U136</f>
        <v>4.2813166230620779E-2</v>
      </c>
      <c r="V145" s="158">
        <f t="shared" ref="V145" si="381">+V144/V136</f>
        <v>6.6716091768115215E-2</v>
      </c>
      <c r="W145" s="207">
        <f>W144/W136</f>
        <v>5.2217885437583565E-2</v>
      </c>
      <c r="X145" s="158">
        <f t="shared" ref="X145" si="382">+X144/X136</f>
        <v>0.10527895258717548</v>
      </c>
      <c r="Y145" s="158">
        <f t="shared" ref="Y145" si="383">+Y144/Y136</f>
        <v>-1.6910073962607935E-2</v>
      </c>
      <c r="Z145" s="158">
        <f t="shared" ref="Z145" si="384">+Z144/Z136</f>
        <v>3.8821095454385772E-2</v>
      </c>
      <c r="AA145" s="158">
        <f t="shared" ref="AA145" si="385">+AA144/AA136</f>
        <v>6.2593944654117911E-2</v>
      </c>
      <c r="AB145" s="205">
        <f>AB144/AB136</f>
        <v>5.1613838779453719E-2</v>
      </c>
    </row>
    <row r="146" spans="2:28" s="160" customFormat="1" outlineLevel="1" x14ac:dyDescent="0.25">
      <c r="B146" s="164" t="s">
        <v>110</v>
      </c>
      <c r="C146" s="161"/>
      <c r="D146" s="162"/>
      <c r="E146" s="162"/>
      <c r="F146" s="162"/>
      <c r="G146" s="162"/>
      <c r="H146" s="163"/>
      <c r="I146" s="130">
        <f>+I143-I140</f>
        <v>202.39999999999998</v>
      </c>
      <c r="J146" s="130">
        <f t="shared" ref="J146:L146" si="386">+J143-J140</f>
        <v>188.70000000000002</v>
      </c>
      <c r="K146" s="130">
        <f t="shared" si="386"/>
        <v>224.50000000000003</v>
      </c>
      <c r="L146" s="130">
        <f t="shared" si="386"/>
        <v>217.9</v>
      </c>
      <c r="M146" s="165"/>
      <c r="N146" s="130">
        <f t="shared" ref="N146:Q146" si="387">+N143-N140</f>
        <v>228.20000000000002</v>
      </c>
      <c r="O146" s="130">
        <f t="shared" si="387"/>
        <v>253.90000000000003</v>
      </c>
      <c r="P146" s="130">
        <f t="shared" si="387"/>
        <v>224.5</v>
      </c>
      <c r="Q146" s="130">
        <f t="shared" si="387"/>
        <v>248.3</v>
      </c>
      <c r="R146" s="165"/>
      <c r="S146" s="130">
        <f t="shared" ref="S146:V146" si="388">+S143-S140</f>
        <v>231.4</v>
      </c>
      <c r="T146" s="130">
        <f t="shared" si="388"/>
        <v>223.4</v>
      </c>
      <c r="U146" s="130">
        <f t="shared" si="388"/>
        <v>264.07141876589554</v>
      </c>
      <c r="V146" s="130">
        <f t="shared" si="388"/>
        <v>266.1652341970202</v>
      </c>
      <c r="W146" s="133"/>
      <c r="X146" s="130">
        <f t="shared" ref="X146:AA146" si="389">+X143-X140</f>
        <v>255.86484340778375</v>
      </c>
      <c r="Y146" s="130">
        <f t="shared" si="389"/>
        <v>219.27734591395026</v>
      </c>
      <c r="Z146" s="130">
        <f t="shared" si="389"/>
        <v>248.05811535642812</v>
      </c>
      <c r="AA146" s="130">
        <f t="shared" si="389"/>
        <v>240.18251464332118</v>
      </c>
      <c r="AB146" s="163"/>
    </row>
    <row r="147" spans="2:28" s="160" customFormat="1" outlineLevel="1" x14ac:dyDescent="0.25">
      <c r="B147" s="164" t="s">
        <v>111</v>
      </c>
      <c r="C147" s="161"/>
      <c r="D147" s="162"/>
      <c r="E147" s="162"/>
      <c r="F147" s="162"/>
      <c r="G147" s="162"/>
      <c r="H147" s="163"/>
      <c r="I147" s="166">
        <f>+I146/I136</f>
        <v>0.81580008061265608</v>
      </c>
      <c r="J147" s="166">
        <f t="shared" ref="J147" si="390">+J146/J136</f>
        <v>0.86401098901098905</v>
      </c>
      <c r="K147" s="166">
        <f t="shared" ref="K147" si="391">+K146/K136</f>
        <v>0.94685786587937593</v>
      </c>
      <c r="L147" s="166">
        <f t="shared" ref="L147" si="392">+L146/L136</f>
        <v>0.85417483339866718</v>
      </c>
      <c r="M147" s="167"/>
      <c r="N147" s="166">
        <f t="shared" ref="N147" si="393">+N146/N136</f>
        <v>0.8511749347258486</v>
      </c>
      <c r="O147" s="166">
        <f t="shared" ref="O147" si="394">+O146/O136</f>
        <v>1.0115537848605578</v>
      </c>
      <c r="P147" s="166">
        <f t="shared" ref="P147" si="395">+P146/P136</f>
        <v>0.857852502865877</v>
      </c>
      <c r="Q147" s="166">
        <f t="shared" ref="Q147" si="396">+Q146/Q136</f>
        <v>0.92891881780770669</v>
      </c>
      <c r="R147" s="165"/>
      <c r="S147" s="166">
        <f t="shared" ref="S147:T147" si="397">+S146/S136</f>
        <v>0.86894479909876077</v>
      </c>
      <c r="T147" s="166">
        <f t="shared" si="397"/>
        <v>0.98197802197802198</v>
      </c>
      <c r="U147" s="168">
        <v>0.93200000000000005</v>
      </c>
      <c r="V147" s="168">
        <v>0.90800000000000003</v>
      </c>
      <c r="W147" s="163"/>
      <c r="X147" s="168">
        <f>+S147</f>
        <v>0.86894479909876077</v>
      </c>
      <c r="Y147" s="168">
        <f>+T147</f>
        <v>0.98197802197802198</v>
      </c>
      <c r="Z147" s="168">
        <f>+U147</f>
        <v>0.93200000000000005</v>
      </c>
      <c r="AA147" s="168">
        <f>+V147</f>
        <v>0.90800000000000003</v>
      </c>
      <c r="AB147" s="163"/>
    </row>
    <row r="148" spans="2:28" ht="18" x14ac:dyDescent="0.4">
      <c r="B148" s="245" t="s">
        <v>132</v>
      </c>
      <c r="C148" s="246"/>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51" t="s">
        <v>139</v>
      </c>
      <c r="C149" s="252"/>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8">+Q149*(1+V150)</f>
        <v>512.33499999999992</v>
      </c>
      <c r="W149" s="51">
        <f>SUM(S149:V149)</f>
        <v>1971.665918113014</v>
      </c>
      <c r="X149" s="106">
        <f>+S149*(1+X150)</f>
        <v>529.83000000000004</v>
      </c>
      <c r="Y149" s="106">
        <f>+T149*(1+Y150)</f>
        <v>468.93000000000006</v>
      </c>
      <c r="Z149" s="106">
        <f>+U149*(1+Z150)</f>
        <v>533.53746401866488</v>
      </c>
      <c r="AA149" s="106">
        <f t="shared" ref="AA149" si="399">+V149*(1+AA150)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0">+O149/J149-1</f>
        <v>8.5262345679012475E-2</v>
      </c>
      <c r="P150" s="147">
        <f t="shared" ref="P150" si="401">+P149/K149-1</f>
        <v>4.938043277233195E-2</v>
      </c>
      <c r="Q150" s="147">
        <f t="shared" ref="Q150" si="402">+Q149/L149-1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5" t="s">
        <v>73</v>
      </c>
      <c r="C151" s="256"/>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40">
        <v>12.721405114560929</v>
      </c>
      <c r="V154" s="240">
        <v>13.211913024045996</v>
      </c>
      <c r="W154" s="20"/>
      <c r="X154" s="240">
        <v>13.529886581462971</v>
      </c>
      <c r="Y154" s="240">
        <v>13.905035970340769</v>
      </c>
      <c r="Z154" s="240">
        <v>13.844029989725593</v>
      </c>
      <c r="AA154" s="240">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3">SUM(I151:I156)</f>
        <v>398.90000000000003</v>
      </c>
      <c r="J157" s="106">
        <f t="shared" ref="J157" si="404">SUM(J151:J156)</f>
        <v>350.9</v>
      </c>
      <c r="K157" s="106">
        <f t="shared" ref="K157" si="405">SUM(K151:K156)</f>
        <v>359.9</v>
      </c>
      <c r="L157" s="106">
        <f t="shared" ref="L157" si="406">SUM(L151:L156)</f>
        <v>374.39999999999992</v>
      </c>
      <c r="M157" s="20"/>
      <c r="N157" s="106">
        <f>SUM(N151:N156)</f>
        <v>397.09999999999997</v>
      </c>
      <c r="O157" s="106">
        <f t="shared" ref="O157" si="407">SUM(O151:O156)</f>
        <v>364.6</v>
      </c>
      <c r="P157" s="106">
        <f t="shared" ref="P157" si="408">SUM(P151:P156)</f>
        <v>382.5</v>
      </c>
      <c r="Q157" s="106">
        <f t="shared" ref="Q157" si="409">SUM(Q151:Q156)</f>
        <v>409.70000000000005</v>
      </c>
      <c r="R157" s="20"/>
      <c r="S157" s="106">
        <f>SUM(S151:S156)</f>
        <v>370.29999999999995</v>
      </c>
      <c r="T157" s="106">
        <f t="shared" ref="T157:V157" si="410">SUM(T151:T156)</f>
        <v>337.8</v>
      </c>
      <c r="U157" s="106">
        <f t="shared" si="410"/>
        <v>378.57566615593112</v>
      </c>
      <c r="V157" s="106">
        <f t="shared" si="410"/>
        <v>390.49688295899358</v>
      </c>
      <c r="W157" s="20"/>
      <c r="X157" s="106">
        <f t="shared" ref="X157" si="411">SUM(X151:X156)</f>
        <v>402.3448865814629</v>
      </c>
      <c r="Y157" s="106">
        <f t="shared" ref="Y157" si="412">SUM(Y151:Y156)</f>
        <v>355.68003597034078</v>
      </c>
      <c r="Z157" s="106">
        <f t="shared" ref="Z157:AA157" si="413">SUM(Z151:Z156)</f>
        <v>397.99100408316428</v>
      </c>
      <c r="AA157" s="106">
        <f t="shared" si="413"/>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8">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4">I149-I157+I158</f>
        <v>263.89999999999992</v>
      </c>
      <c r="J159" s="157">
        <f t="shared" si="414"/>
        <v>207.5</v>
      </c>
      <c r="K159" s="157">
        <f t="shared" si="414"/>
        <v>230.00000000000006</v>
      </c>
      <c r="L159" s="157">
        <f t="shared" si="414"/>
        <v>265.40000000000009</v>
      </c>
      <c r="M159" s="51">
        <f>SUM(I159:L159)</f>
        <v>966.80000000000007</v>
      </c>
      <c r="N159" s="157">
        <f t="shared" si="414"/>
        <v>269.60000000000002</v>
      </c>
      <c r="O159" s="157">
        <f t="shared" si="414"/>
        <v>234</v>
      </c>
      <c r="P159" s="157">
        <f t="shared" si="414"/>
        <v>232.79999999999998</v>
      </c>
      <c r="Q159" s="157">
        <f t="shared" si="414"/>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5">X149-X157+X158</f>
        <v>171.70855091853716</v>
      </c>
      <c r="Y159" s="157">
        <f t="shared" si="415"/>
        <v>158.17926090465929</v>
      </c>
      <c r="Z159" s="157">
        <f t="shared" si="415"/>
        <v>181.65808102925061</v>
      </c>
      <c r="AA159" s="157">
        <f t="shared" si="415"/>
        <v>173.65739943772871</v>
      </c>
      <c r="AB159" s="51">
        <f>SUM(X159:AA159)</f>
        <v>685.2032922901758</v>
      </c>
    </row>
    <row r="160" spans="2:28" outlineLevel="1" x14ac:dyDescent="0.25">
      <c r="B160" s="102" t="s">
        <v>135</v>
      </c>
      <c r="C160" s="93"/>
      <c r="D160" s="30"/>
      <c r="E160" s="30"/>
      <c r="F160" s="30"/>
      <c r="G160" s="30"/>
      <c r="H160" s="20"/>
      <c r="I160" s="158">
        <f t="shared" ref="I160:Q160" si="416">+I159/I149</f>
        <v>0.42502818489289729</v>
      </c>
      <c r="J160" s="158">
        <f t="shared" si="416"/>
        <v>0.40027006172839508</v>
      </c>
      <c r="K160" s="158">
        <f t="shared" si="416"/>
        <v>0.42537451451821717</v>
      </c>
      <c r="L160" s="158">
        <f t="shared" si="416"/>
        <v>0.46036426712922823</v>
      </c>
      <c r="M160" s="72">
        <f>M159/M149</f>
        <v>0.42845114114779531</v>
      </c>
      <c r="N160" s="158">
        <f t="shared" si="416"/>
        <v>0.42929936305732486</v>
      </c>
      <c r="O160" s="158">
        <f t="shared" si="416"/>
        <v>0.41592605758976181</v>
      </c>
      <c r="P160" s="158">
        <f t="shared" si="416"/>
        <v>0.41029256256609092</v>
      </c>
      <c r="Q160" s="158">
        <f t="shared" si="416"/>
        <v>0.35379195253105861</v>
      </c>
      <c r="R160" s="72">
        <f>R159/R149</f>
        <v>0.40360423105384569</v>
      </c>
      <c r="S160" s="158">
        <f>+S159/S149</f>
        <v>0.34819659135949282</v>
      </c>
      <c r="T160" s="158">
        <f>+T159/T149</f>
        <v>0.33363188535602328</v>
      </c>
      <c r="U160" s="158">
        <f>+U159/U149</f>
        <v>0.34878856145034853</v>
      </c>
      <c r="V160" s="158">
        <f>+V159/V149</f>
        <v>0.33075403210986243</v>
      </c>
      <c r="W160" s="208">
        <f>W159/W149</f>
        <v>0.3405176875201259</v>
      </c>
      <c r="X160" s="158">
        <f t="shared" ref="X160:AA160" si="417">+X159/X149</f>
        <v>0.32408234890160453</v>
      </c>
      <c r="Y160" s="158">
        <f t="shared" si="417"/>
        <v>0.33731955921919959</v>
      </c>
      <c r="Z160" s="158">
        <f t="shared" si="417"/>
        <v>0.34047858544174436</v>
      </c>
      <c r="AA160" s="158">
        <f t="shared" si="417"/>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8">+J157-J154</f>
        <v>350.09999999999997</v>
      </c>
      <c r="K161" s="130">
        <f t="shared" si="418"/>
        <v>359.2</v>
      </c>
      <c r="L161" s="130">
        <f t="shared" si="418"/>
        <v>373.69999999999993</v>
      </c>
      <c r="M161" s="165"/>
      <c r="N161" s="130">
        <f t="shared" ref="N161:Q161" si="419">+N157-N154</f>
        <v>396.49999999999994</v>
      </c>
      <c r="O161" s="130">
        <f t="shared" si="419"/>
        <v>364.3</v>
      </c>
      <c r="P161" s="130">
        <f t="shared" si="419"/>
        <v>382.3</v>
      </c>
      <c r="Q161" s="130">
        <f t="shared" si="419"/>
        <v>409.6</v>
      </c>
      <c r="R161" s="165"/>
      <c r="S161" s="130">
        <f t="shared" ref="S161" si="420">+S157-S154</f>
        <v>370.29999999999995</v>
      </c>
      <c r="T161" s="130">
        <f>+T157-T154</f>
        <v>325.5</v>
      </c>
      <c r="U161" s="130">
        <f>+U157-U154</f>
        <v>365.85426104137019</v>
      </c>
      <c r="V161" s="130">
        <f>+V157-V154</f>
        <v>377.28496993494758</v>
      </c>
      <c r="W161" s="133"/>
      <c r="X161" s="130">
        <f t="shared" ref="X161:AA161" si="421">+X157-X154</f>
        <v>388.81499999999994</v>
      </c>
      <c r="Y161" s="130">
        <f t="shared" si="421"/>
        <v>341.77500000000003</v>
      </c>
      <c r="Z161" s="130">
        <f t="shared" si="421"/>
        <v>384.1469740934387</v>
      </c>
      <c r="AA161" s="130">
        <f t="shared" si="421"/>
        <v>396.14921843169498</v>
      </c>
      <c r="AB161" s="163"/>
    </row>
    <row r="162" spans="2:28" s="160" customFormat="1" outlineLevel="1" x14ac:dyDescent="0.25">
      <c r="B162" s="164" t="s">
        <v>111</v>
      </c>
      <c r="C162" s="161"/>
      <c r="D162" s="162"/>
      <c r="E162" s="162"/>
      <c r="F162" s="162"/>
      <c r="G162" s="162"/>
      <c r="H162" s="163"/>
      <c r="I162" s="166">
        <f t="shared" ref="I162:Q162" si="422">+I161/I149</f>
        <v>0.64116604928329846</v>
      </c>
      <c r="J162" s="166">
        <f t="shared" si="422"/>
        <v>0.67534722222222221</v>
      </c>
      <c r="K162" s="166">
        <f t="shared" si="422"/>
        <v>0.66432402441279814</v>
      </c>
      <c r="L162" s="166">
        <f t="shared" si="422"/>
        <v>0.64822202948829133</v>
      </c>
      <c r="M162" s="167"/>
      <c r="N162" s="166">
        <f t="shared" si="422"/>
        <v>0.63136942675159224</v>
      </c>
      <c r="O162" s="166">
        <f t="shared" si="422"/>
        <v>0.64752932811944541</v>
      </c>
      <c r="P162" s="166">
        <f t="shared" si="422"/>
        <v>0.67377511455763139</v>
      </c>
      <c r="Q162" s="166">
        <f t="shared" si="422"/>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5" t="s">
        <v>136</v>
      </c>
      <c r="C163" s="246"/>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7" t="s">
        <v>143</v>
      </c>
      <c r="C164" s="248"/>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3">+Q164*(1+V165)</f>
        <v>14.96</v>
      </c>
      <c r="W164" s="20"/>
      <c r="X164" s="104">
        <f>+S164*(1+X165)</f>
        <v>16.968</v>
      </c>
      <c r="Y164" s="104">
        <f>+T164*(1+Y165)</f>
        <v>21.21</v>
      </c>
      <c r="Z164" s="104">
        <f>+U164*(1+Z165)</f>
        <v>13.887500000000001</v>
      </c>
      <c r="AA164" s="104">
        <f t="shared" ref="AA164" si="424">+V164*(1+AA165)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5">+O164/J164-1</f>
        <v>-0.42699115044247793</v>
      </c>
      <c r="P165" s="50">
        <f t="shared" ref="P165" si="426">+P164/K164-1</f>
        <v>-0.68434343434343436</v>
      </c>
      <c r="Q165" s="50">
        <f t="shared" ref="Q165" si="427">+Q164/L164-1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47" t="s">
        <v>144</v>
      </c>
      <c r="C166" s="248"/>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8">+Q166*(1+V167)</f>
        <v>0</v>
      </c>
      <c r="W166" s="20"/>
      <c r="X166" s="104">
        <f>+S166*(1+X167)</f>
        <v>0</v>
      </c>
      <c r="Y166" s="104">
        <f>+T166*(1+Y167)</f>
        <v>0</v>
      </c>
      <c r="Z166" s="104">
        <f>+U166*(1+Z167)</f>
        <v>0</v>
      </c>
      <c r="AA166" s="104">
        <f t="shared" ref="AA166" si="429">+V166*(1+AA167)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0">+O166/J166-1</f>
        <v>-1</v>
      </c>
      <c r="P167" s="50">
        <f t="shared" ref="P167" si="431">+P166/K166-1</f>
        <v>-1</v>
      </c>
      <c r="Q167" s="50">
        <f t="shared" ref="Q167" si="432">+Q166/L166-1</f>
        <v>-1</v>
      </c>
      <c r="R167" s="20"/>
      <c r="S167" s="50">
        <f>+S166/N166-1</f>
        <v>-1</v>
      </c>
      <c r="T167" s="230"/>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47" t="s">
        <v>145</v>
      </c>
      <c r="C168" s="248"/>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3">+Q168*(1+V169)</f>
        <v>14.704123762972614</v>
      </c>
      <c r="W168" s="20"/>
      <c r="X168" s="104">
        <f>+S168*(1+X169)</f>
        <v>12.912068014534103</v>
      </c>
      <c r="Y168" s="104">
        <f>+T168*(1+Y169)</f>
        <v>18.608770867445941</v>
      </c>
      <c r="Z168" s="104">
        <f>+U168*(1+Z169)</f>
        <v>15.896439143723764</v>
      </c>
      <c r="AA168" s="104">
        <f t="shared" ref="AA168" si="434">+V168*(1+AA169)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5">+O168/J168-1</f>
        <v>-0.67346938775510201</v>
      </c>
      <c r="P169" s="147">
        <f t="shared" ref="P169" si="436">+P168/K168-1</f>
        <v>-0.25592417061611383</v>
      </c>
      <c r="Q169" s="147">
        <f t="shared" ref="Q169" si="437">+Q168/L168-1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5" t="s">
        <v>73</v>
      </c>
      <c r="C170" s="256"/>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8">AVERAGE(T171,S171,Q171,P171)</f>
        <v>16.775000000000002</v>
      </c>
      <c r="V171" s="104">
        <f t="shared" ref="V171:V175" si="439">AVERAGE(U171,T171,S171,Q171)</f>
        <v>18.668749999999999</v>
      </c>
      <c r="W171" s="105"/>
      <c r="X171" s="104">
        <f t="shared" ref="X171:X175" si="440">AVERAGE(V171,U171,T171,S171)</f>
        <v>18.9609375</v>
      </c>
      <c r="Y171" s="104">
        <f t="shared" ref="Y171:Y172" si="441">AVERAGE(X171,V171,U171,T171)</f>
        <v>19.001171875000004</v>
      </c>
      <c r="Z171" s="104">
        <f t="shared" ref="Z171:Z172" si="442">AVERAGE(Y171,X171,V171,U171)</f>
        <v>18.351464843750001</v>
      </c>
      <c r="AA171" s="104">
        <f t="shared" ref="AA171:AA172" si="443">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8"/>
        <v>3.5500000000000003</v>
      </c>
      <c r="V172" s="104">
        <f t="shared" si="439"/>
        <v>3.7125000000000004</v>
      </c>
      <c r="W172" s="105"/>
      <c r="X172" s="104">
        <f t="shared" si="440"/>
        <v>3.6906250000000003</v>
      </c>
      <c r="Y172" s="104">
        <f t="shared" si="441"/>
        <v>3.8632812500000004</v>
      </c>
      <c r="Z172" s="104">
        <f t="shared" si="442"/>
        <v>3.7041015625000004</v>
      </c>
      <c r="AA172" s="104">
        <f t="shared" si="443"/>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40">
        <v>46.438299971039477</v>
      </c>
      <c r="V173" s="240">
        <v>48.228853234119114</v>
      </c>
      <c r="W173" s="20"/>
      <c r="X173" s="240">
        <v>49.389585976234748</v>
      </c>
      <c r="Y173" s="240">
        <v>50.759033745390276</v>
      </c>
      <c r="Z173" s="240">
        <v>50.536337116965761</v>
      </c>
      <c r="AA173" s="240">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4">AVERAGE(T174,S174,Q174,P174)</f>
        <v>327.55</v>
      </c>
      <c r="V174" s="104">
        <f t="shared" si="439"/>
        <v>333.16250000000002</v>
      </c>
      <c r="W174" s="105"/>
      <c r="X174" s="104">
        <f t="shared" si="440"/>
        <v>334.30312500000002</v>
      </c>
      <c r="Y174" s="104">
        <f t="shared" ref="Y174:Y175" si="445">AVERAGE(X174,V174,U174,T174)</f>
        <v>334.40390624999998</v>
      </c>
      <c r="Z174" s="104">
        <f t="shared" ref="Z174:Z175" si="446">AVERAGE(Y174,X174,V174,U174)</f>
        <v>332.35488281250002</v>
      </c>
      <c r="AA174" s="104">
        <f t="shared" ref="AA174:AA175" si="447">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4"/>
        <v>4.8250000000000002</v>
      </c>
      <c r="V175" s="156">
        <f t="shared" si="439"/>
        <v>6.40625</v>
      </c>
      <c r="W175" s="171"/>
      <c r="X175" s="156">
        <f t="shared" si="440"/>
        <v>6.4578124999999993</v>
      </c>
      <c r="Y175" s="156">
        <f t="shared" si="445"/>
        <v>4.5972656249999995</v>
      </c>
      <c r="Z175" s="156">
        <f t="shared" si="446"/>
        <v>5.5715820312499993</v>
      </c>
      <c r="AA175" s="156">
        <f t="shared" si="447"/>
        <v>5.7582275390624993</v>
      </c>
      <c r="AB175" s="20"/>
    </row>
    <row r="176" spans="2:28" outlineLevel="1" x14ac:dyDescent="0.25">
      <c r="B176" s="102" t="s">
        <v>137</v>
      </c>
      <c r="C176" s="35"/>
      <c r="D176" s="30"/>
      <c r="E176" s="30"/>
      <c r="F176" s="30"/>
      <c r="G176" s="30"/>
      <c r="H176" s="23"/>
      <c r="I176" s="106">
        <f t="shared" ref="I176" si="448">SUM(I170:I175)</f>
        <v>398.2</v>
      </c>
      <c r="J176" s="106">
        <f t="shared" ref="J176" si="449">SUM(J170:J175)</f>
        <v>369.9</v>
      </c>
      <c r="K176" s="106">
        <f t="shared" ref="K176" si="450">SUM(K170:K175)</f>
        <v>447.6</v>
      </c>
      <c r="L176" s="106">
        <f t="shared" ref="L176" si="451">SUM(L170:L175)</f>
        <v>440.59999999999997</v>
      </c>
      <c r="M176" s="159"/>
      <c r="N176" s="106">
        <f>SUM(N170:N175)</f>
        <v>436.7</v>
      </c>
      <c r="O176" s="106">
        <f t="shared" ref="O176" si="452">SUM(O170:O175)</f>
        <v>492.00000000000006</v>
      </c>
      <c r="P176" s="106">
        <f t="shared" ref="P176" si="453">SUM(P170:P175)</f>
        <v>392.9</v>
      </c>
      <c r="Q176" s="106">
        <f t="shared" ref="Q176" si="454">SUM(Q170:Q175)</f>
        <v>433.90000000000003</v>
      </c>
      <c r="R176" s="159"/>
      <c r="S176" s="106">
        <f t="shared" ref="S176" si="455">SUM(S170:S175)</f>
        <v>448.49999999999994</v>
      </c>
      <c r="T176" s="106">
        <f>SUM(T170:T175)</f>
        <v>456.00000000000006</v>
      </c>
      <c r="U176" s="106">
        <f t="shared" ref="U176" si="456">SUM(U170:U175)</f>
        <v>436.4382999710395</v>
      </c>
      <c r="V176" s="106">
        <f t="shared" ref="V176" si="457">SUM(V170:V175)</f>
        <v>447.95385323411915</v>
      </c>
      <c r="W176" s="20"/>
      <c r="X176" s="106">
        <f t="shared" ref="X176" si="458">SUM(X170:X175)</f>
        <v>450.97083597623475</v>
      </c>
      <c r="Y176" s="106">
        <f t="shared" ref="Y176" si="459">SUM(Y170:Y175)</f>
        <v>451.36059624539024</v>
      </c>
      <c r="Z176" s="106">
        <f t="shared" ref="Z176" si="460">SUM(Z170:Z175)</f>
        <v>448.51329024196576</v>
      </c>
      <c r="AA176" s="106">
        <f t="shared" ref="AA176" si="461">SUM(AA170:AA175)</f>
        <v>450.58739397125754</v>
      </c>
      <c r="AB176" s="23"/>
    </row>
    <row r="177" spans="1:28" outlineLevel="1" x14ac:dyDescent="0.25">
      <c r="B177" s="102" t="s">
        <v>138</v>
      </c>
      <c r="C177" s="93"/>
      <c r="D177" s="30"/>
      <c r="E177" s="30"/>
      <c r="F177" s="30"/>
      <c r="G177" s="30"/>
      <c r="H177" s="23"/>
      <c r="I177" s="157">
        <f t="shared" ref="I177:Q177" si="462">I164+I166+I168-I176</f>
        <v>-288.89999999999998</v>
      </c>
      <c r="J177" s="157">
        <f t="shared" si="462"/>
        <v>-294.59999999999997</v>
      </c>
      <c r="K177" s="157">
        <f t="shared" si="462"/>
        <v>-386.3</v>
      </c>
      <c r="L177" s="157">
        <f t="shared" si="462"/>
        <v>-375.09999999999997</v>
      </c>
      <c r="M177" s="159">
        <f t="shared" si="462"/>
        <v>0</v>
      </c>
      <c r="N177" s="157">
        <f t="shared" si="462"/>
        <v>-360.4</v>
      </c>
      <c r="O177" s="157">
        <f t="shared" si="462"/>
        <v>-456.50000000000006</v>
      </c>
      <c r="P177" s="157">
        <f t="shared" si="462"/>
        <v>-364.7</v>
      </c>
      <c r="Q177" s="157">
        <f t="shared" si="462"/>
        <v>-405.70000000000005</v>
      </c>
      <c r="R177" s="159"/>
      <c r="S177" s="157">
        <f>S164+S166+S168-S176</f>
        <v>-419.99999999999994</v>
      </c>
      <c r="T177" s="157">
        <f>T164+T166+T168-T176</f>
        <v>-419.20000000000005</v>
      </c>
      <c r="U177" s="157">
        <f t="shared" ref="U177:AA177" si="463">U164+U166+U168-U176</f>
        <v>-407.70232690355931</v>
      </c>
      <c r="V177" s="157">
        <f t="shared" si="463"/>
        <v>-418.28972947114653</v>
      </c>
      <c r="W177" s="169"/>
      <c r="X177" s="157">
        <f t="shared" si="463"/>
        <v>-421.09076796170064</v>
      </c>
      <c r="Y177" s="157">
        <f t="shared" si="463"/>
        <v>-411.54182537794429</v>
      </c>
      <c r="Z177" s="157">
        <f t="shared" si="463"/>
        <v>-418.72935109824198</v>
      </c>
      <c r="AA177" s="157">
        <f t="shared" si="463"/>
        <v>-419.48980838406959</v>
      </c>
      <c r="AB177" s="23"/>
    </row>
    <row r="178" spans="1:28" ht="18" x14ac:dyDescent="0.4">
      <c r="B178" s="245" t="s">
        <v>21</v>
      </c>
      <c r="C178" s="246"/>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0</v>
      </c>
      <c r="W183" s="133"/>
      <c r="X183" s="130">
        <f>+X77+X111+X144+X159+X177-X26</f>
        <v>0</v>
      </c>
      <c r="Y183" s="130">
        <f>+Y77+Y111+Y144+Y159+Y177-Y26</f>
        <v>0</v>
      </c>
      <c r="Z183" s="130">
        <f>+Z77+Z111+Z144+Z159+Z177-Z26</f>
        <v>0</v>
      </c>
      <c r="AA183" s="130">
        <f>+AA77+AA111+AA144+AA159+AA177-AA26</f>
        <v>0</v>
      </c>
      <c r="AB183" s="133"/>
    </row>
    <row r="184" spans="1:28" ht="15" customHeight="1" x14ac:dyDescent="0.4">
      <c r="B184" s="245" t="s">
        <v>15</v>
      </c>
      <c r="C184" s="246"/>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7" t="s">
        <v>34</v>
      </c>
      <c r="C185" s="248"/>
      <c r="D185" s="50"/>
      <c r="E185" s="50"/>
      <c r="F185" s="50"/>
      <c r="G185" s="50"/>
      <c r="H185" s="48"/>
      <c r="I185" s="50">
        <f>I16/D16-1</f>
        <v>6.6883781520423957E-2</v>
      </c>
      <c r="J185" s="50">
        <f t="shared" ref="J185:AB185" si="464">J16/E16-1</f>
        <v>6.0241929023471696E-2</v>
      </c>
      <c r="K185" s="50">
        <f t="shared" si="464"/>
        <v>8.0851470026727768E-2</v>
      </c>
      <c r="L185" s="50">
        <f t="shared" si="464"/>
        <v>-2.2587197086425537E-3</v>
      </c>
      <c r="M185" s="48">
        <f t="shared" si="464"/>
        <v>5.0234801251647809E-2</v>
      </c>
      <c r="N185" s="50">
        <f t="shared" si="464"/>
        <v>5.9446353503462612E-2</v>
      </c>
      <c r="O185" s="50">
        <f t="shared" si="464"/>
        <v>0.1393653192293165</v>
      </c>
      <c r="P185" s="50">
        <f t="shared" si="464"/>
        <v>0.11459860461008575</v>
      </c>
      <c r="Q185" s="50">
        <f t="shared" si="464"/>
        <v>0.10623343804292507</v>
      </c>
      <c r="R185" s="49">
        <f>R16/M16-1</f>
        <v>0.10420249523154368</v>
      </c>
      <c r="S185" s="50">
        <f>S16/N16-1</f>
        <v>9.203615588521008E-2</v>
      </c>
      <c r="T185" s="50">
        <f t="shared" si="464"/>
        <v>4.5442488146158588E-2</v>
      </c>
      <c r="U185" s="50">
        <f t="shared" si="464"/>
        <v>6.2612076347096313E-2</v>
      </c>
      <c r="V185" s="50">
        <f t="shared" si="464"/>
        <v>7.3035002942055671E-2</v>
      </c>
      <c r="W185" s="203">
        <f t="shared" si="464"/>
        <v>6.8310099199972996E-2</v>
      </c>
      <c r="X185" s="50">
        <f t="shared" si="464"/>
        <v>7.1059229246108968E-2</v>
      </c>
      <c r="Y185" s="50">
        <f t="shared" si="464"/>
        <v>8.825977383431538E-2</v>
      </c>
      <c r="Z185" s="50">
        <f t="shared" si="464"/>
        <v>9.1264801526560912E-2</v>
      </c>
      <c r="AA185" s="50">
        <f t="shared" si="464"/>
        <v>9.2151203185812047E-2</v>
      </c>
      <c r="AB185" s="48">
        <f t="shared" si="464"/>
        <v>8.5699403247855965E-2</v>
      </c>
    </row>
    <row r="186" spans="1:28" s="39" customFormat="1" outlineLevel="1" x14ac:dyDescent="0.25">
      <c r="B186" s="247" t="s">
        <v>4</v>
      </c>
      <c r="C186" s="248"/>
      <c r="D186" s="47">
        <f t="shared" ref="D186:AB186" si="465">D26/D16</f>
        <v>0.19689215595049786</v>
      </c>
      <c r="E186" s="47">
        <f t="shared" si="465"/>
        <v>0.17307538252022742</v>
      </c>
      <c r="F186" s="47">
        <f t="shared" si="465"/>
        <v>0.19516991218022131</v>
      </c>
      <c r="G186" s="47">
        <f t="shared" si="465"/>
        <v>0.21491105196806271</v>
      </c>
      <c r="H186" s="49">
        <f t="shared" si="465"/>
        <v>0.1957177505993179</v>
      </c>
      <c r="I186" s="47">
        <f t="shared" si="465"/>
        <v>0.19756144359748121</v>
      </c>
      <c r="J186" s="47">
        <f t="shared" si="465"/>
        <v>0.17669059312429156</v>
      </c>
      <c r="K186" s="47">
        <f t="shared" si="465"/>
        <v>0.18443875298065895</v>
      </c>
      <c r="L186" s="47">
        <f t="shared" si="465"/>
        <v>0.17943948195075715</v>
      </c>
      <c r="M186" s="49">
        <f t="shared" si="465"/>
        <v>0.18469448377831474</v>
      </c>
      <c r="N186" s="47">
        <f>N26/N16</f>
        <v>0.18375948762698191</v>
      </c>
      <c r="O186" s="47">
        <f t="shared" si="465"/>
        <v>0.12807122252064063</v>
      </c>
      <c r="P186" s="47">
        <f t="shared" si="465"/>
        <v>0.16452466602221769</v>
      </c>
      <c r="Q186" s="47">
        <f t="shared" si="465"/>
        <v>0.15176128116250107</v>
      </c>
      <c r="R186" s="49">
        <f t="shared" si="465"/>
        <v>0.15710098727924784</v>
      </c>
      <c r="S186" s="47">
        <f t="shared" si="465"/>
        <v>0.15313522396610751</v>
      </c>
      <c r="T186" s="47">
        <f t="shared" si="465"/>
        <v>0.13601547756862614</v>
      </c>
      <c r="U186" s="47">
        <f t="shared" si="465"/>
        <v>0.15640313055047192</v>
      </c>
      <c r="V186" s="47">
        <f t="shared" si="465"/>
        <v>0.15538195187437751</v>
      </c>
      <c r="W186" s="49">
        <f t="shared" si="465"/>
        <v>0.15045248647379345</v>
      </c>
      <c r="X186" s="47">
        <f t="shared" si="465"/>
        <v>0.15949433148755268</v>
      </c>
      <c r="Y186" s="47">
        <f t="shared" si="465"/>
        <v>0.14711674009013989</v>
      </c>
      <c r="Z186" s="47">
        <f t="shared" si="465"/>
        <v>0.16459815400416436</v>
      </c>
      <c r="AA186" s="47">
        <f t="shared" si="465"/>
        <v>0.16656615617085072</v>
      </c>
      <c r="AB186" s="49">
        <f t="shared" si="465"/>
        <v>0.15965644223883688</v>
      </c>
    </row>
    <row r="187" spans="1:28" s="39" customFormat="1" outlineLevel="1" x14ac:dyDescent="0.25">
      <c r="B187" s="247" t="s">
        <v>176</v>
      </c>
      <c r="C187" s="248"/>
      <c r="D187" s="47">
        <f t="shared" ref="D187:AB187" si="466">+D28/D16</f>
        <v>0.19918116683725695</v>
      </c>
      <c r="E187" s="47">
        <f t="shared" si="466"/>
        <v>0.17585916846911789</v>
      </c>
      <c r="F187" s="47">
        <f t="shared" si="466"/>
        <v>0.1984726995036272</v>
      </c>
      <c r="G187" s="47">
        <f t="shared" si="466"/>
        <v>0.19379464911051963</v>
      </c>
      <c r="H187" s="49">
        <f t="shared" si="466"/>
        <v>0.19210073231719046</v>
      </c>
      <c r="I187" s="47">
        <f t="shared" si="466"/>
        <v>0.20000348863576897</v>
      </c>
      <c r="J187" s="47">
        <f t="shared" si="466"/>
        <v>0.1792973177181714</v>
      </c>
      <c r="K187" s="47">
        <f t="shared" si="466"/>
        <v>0.20814271836085857</v>
      </c>
      <c r="L187" s="47">
        <f t="shared" si="466"/>
        <v>0.19976133232718521</v>
      </c>
      <c r="M187" s="49">
        <f t="shared" si="466"/>
        <v>0.19710363742757972</v>
      </c>
      <c r="N187" s="47">
        <f t="shared" si="466"/>
        <v>0.19222220392841266</v>
      </c>
      <c r="O187" s="47">
        <f t="shared" si="466"/>
        <v>0.16199144533969964</v>
      </c>
      <c r="P187" s="47">
        <f t="shared" si="466"/>
        <v>0.18539530608687388</v>
      </c>
      <c r="Q187" s="47">
        <f t="shared" si="466"/>
        <v>0.18134731465103551</v>
      </c>
      <c r="R187" s="49">
        <f t="shared" si="466"/>
        <v>0.18032965943821577</v>
      </c>
      <c r="S187" s="47">
        <f t="shared" si="466"/>
        <v>0.17394123056975308</v>
      </c>
      <c r="T187" s="47">
        <f t="shared" si="466"/>
        <v>0.15843892227913536</v>
      </c>
      <c r="U187" s="47">
        <f t="shared" si="466"/>
        <v>0.17418244520779361</v>
      </c>
      <c r="V187" s="47">
        <f t="shared" si="466"/>
        <v>0.17592719260509421</v>
      </c>
      <c r="W187" s="49">
        <f t="shared" si="466"/>
        <v>0.17080940215283144</v>
      </c>
      <c r="X187" s="47">
        <f t="shared" si="466"/>
        <v>0.17850444937500251</v>
      </c>
      <c r="Y187" s="47">
        <f t="shared" si="466"/>
        <v>0.16402312478491857</v>
      </c>
      <c r="Z187" s="47">
        <f t="shared" si="466"/>
        <v>0.18343355270254122</v>
      </c>
      <c r="AA187" s="47">
        <f t="shared" si="466"/>
        <v>0.18578522904989778</v>
      </c>
      <c r="AB187" s="49">
        <f t="shared" si="466"/>
        <v>0.17817227860770649</v>
      </c>
    </row>
    <row r="188" spans="1:28" s="39" customFormat="1" outlineLevel="1" x14ac:dyDescent="0.25">
      <c r="B188" s="247" t="s">
        <v>2</v>
      </c>
      <c r="C188" s="248"/>
      <c r="D188" s="47">
        <f t="shared" ref="D188:S188" si="467">D33/D32</f>
        <v>0.34479801829268281</v>
      </c>
      <c r="E188" s="47">
        <f t="shared" si="467"/>
        <v>0.33170618317061845</v>
      </c>
      <c r="F188" s="47">
        <f t="shared" si="467"/>
        <v>0.29709334823923994</v>
      </c>
      <c r="G188" s="47">
        <f t="shared" si="467"/>
        <v>0.34027320605661632</v>
      </c>
      <c r="H188" s="49">
        <f t="shared" si="467"/>
        <v>0.32860953651217067</v>
      </c>
      <c r="I188" s="47">
        <f t="shared" si="467"/>
        <v>0.3366581339924089</v>
      </c>
      <c r="J188" s="47">
        <f t="shared" si="467"/>
        <v>0.33414932680538584</v>
      </c>
      <c r="K188" s="47">
        <f t="shared" si="467"/>
        <v>0.34312048650703131</v>
      </c>
      <c r="L188" s="47">
        <f t="shared" si="467"/>
        <v>0.31472477860739728</v>
      </c>
      <c r="M188" s="49">
        <f t="shared" si="467"/>
        <v>0.33181239143022589</v>
      </c>
      <c r="N188" s="47">
        <f t="shared" si="467"/>
        <v>0.2514388369539905</v>
      </c>
      <c r="O188" s="47">
        <f t="shared" si="467"/>
        <v>0.19102501226091217</v>
      </c>
      <c r="P188" s="47">
        <f t="shared" si="467"/>
        <v>0.17023763147643162</v>
      </c>
      <c r="Q188" s="47">
        <f t="shared" si="467"/>
        <v>0.18833503246230618</v>
      </c>
      <c r="R188" s="49">
        <f t="shared" si="467"/>
        <v>0.21831613366435113</v>
      </c>
      <c r="S188" s="47">
        <f t="shared" si="467"/>
        <v>0.2124287933713099</v>
      </c>
      <c r="T188" s="47">
        <f t="shared" ref="T188" si="468">T33/T32</f>
        <v>0.1965853658536586</v>
      </c>
      <c r="U188" s="54">
        <v>0.21</v>
      </c>
      <c r="V188" s="54">
        <v>0.22</v>
      </c>
      <c r="W188" s="203">
        <f>W33/W32</f>
        <v>0.21029787437811095</v>
      </c>
      <c r="X188" s="54">
        <f>AVERAGE(V188,U188,T188,S188)</f>
        <v>0.20975353980624215</v>
      </c>
      <c r="Y188" s="54">
        <f>AVERAGE(X188,V188,U188,T188)</f>
        <v>0.20908472641497519</v>
      </c>
      <c r="Z188" s="54">
        <f>AVERAGE(Y188,X188,V188,U188)</f>
        <v>0.21220956655530432</v>
      </c>
      <c r="AA188" s="54">
        <f>AVERAGE(Z188,Y188,X188,V188)</f>
        <v>0.21276195819413041</v>
      </c>
      <c r="AB188" s="49">
        <f>AB33/AB32</f>
        <v>0.21106633081203591</v>
      </c>
    </row>
    <row r="189" spans="1:28" ht="18" x14ac:dyDescent="0.4">
      <c r="A189" s="213"/>
      <c r="B189" s="245" t="s">
        <v>175</v>
      </c>
      <c r="C189" s="246"/>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3"/>
      <c r="B190" s="247" t="s">
        <v>11</v>
      </c>
      <c r="C190" s="248"/>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69">AVERAGE(U190,V190,X190,Y190)</f>
        <v>2E-3</v>
      </c>
      <c r="AA190" s="55">
        <f t="shared" ref="AA190:AA191" si="470">AVERAGE(V190,X190,Y190,Z190)</f>
        <v>2E-3</v>
      </c>
      <c r="AB190" s="24"/>
    </row>
    <row r="191" spans="1:28" outlineLevel="1" x14ac:dyDescent="0.25">
      <c r="A191" s="213"/>
      <c r="B191" s="247" t="s">
        <v>12</v>
      </c>
      <c r="C191" s="248"/>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69"/>
        <v>2E-3</v>
      </c>
      <c r="AA191" s="55">
        <f t="shared" si="470"/>
        <v>2E-3</v>
      </c>
      <c r="AB191" s="24"/>
    </row>
    <row r="192" spans="1:28" outlineLevel="1" x14ac:dyDescent="0.25">
      <c r="A192" s="213"/>
      <c r="B192" s="247" t="s">
        <v>5</v>
      </c>
      <c r="C192" s="248"/>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32">
        <v>70.489999999999995</v>
      </c>
      <c r="U192" s="58">
        <v>82</v>
      </c>
      <c r="V192" s="58">
        <v>85</v>
      </c>
      <c r="W192" s="57"/>
      <c r="X192" s="58">
        <f>+V192</f>
        <v>85</v>
      </c>
      <c r="Y192" s="58">
        <f>+X192</f>
        <v>85</v>
      </c>
      <c r="Z192" s="58">
        <f>+Y192</f>
        <v>85</v>
      </c>
      <c r="AA192" s="58">
        <f>+Z192</f>
        <v>85</v>
      </c>
      <c r="AB192" s="57"/>
    </row>
    <row r="193" spans="1:28" outlineLevel="1" x14ac:dyDescent="0.25">
      <c r="A193" s="213"/>
      <c r="B193" s="247" t="s">
        <v>6</v>
      </c>
      <c r="C193" s="248"/>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6">
        <f>70.49*37.357294</f>
        <v>2633.3156540599998</v>
      </c>
      <c r="U193" s="53">
        <v>1700</v>
      </c>
      <c r="V193" s="53">
        <v>900</v>
      </c>
      <c r="W193" s="31">
        <f>+SUM(S193:V193)</f>
        <v>9233.31565778</v>
      </c>
      <c r="X193" s="53">
        <v>500</v>
      </c>
      <c r="Y193" s="53">
        <v>500</v>
      </c>
      <c r="Z193" s="53">
        <v>500</v>
      </c>
      <c r="AA193" s="53">
        <v>500</v>
      </c>
      <c r="AB193" s="31">
        <f>+SUM(X193:AA193)</f>
        <v>2000</v>
      </c>
    </row>
    <row r="194" spans="1:28" outlineLevel="1" x14ac:dyDescent="0.25">
      <c r="A194" s="213"/>
      <c r="B194" s="269" t="s">
        <v>16</v>
      </c>
      <c r="C194" s="270"/>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20.73170731707317</v>
      </c>
      <c r="V194" s="60">
        <f>IF((V193)&gt;0,(V193/V192),0)</f>
        <v>10.588235294117647</v>
      </c>
      <c r="W194" s="95">
        <f>+SUM(S194:V194)</f>
        <v>140.64557061119081</v>
      </c>
      <c r="X194" s="60">
        <f>IF((X193)&gt;0,(X193/X192),0)</f>
        <v>5.882352941176471</v>
      </c>
      <c r="Y194" s="60">
        <f>IF((Y193)&gt;0,(Y193/Y192),0)</f>
        <v>5.882352941176471</v>
      </c>
      <c r="Z194" s="60">
        <f>IF((Z193)&gt;0,(Z193/Z192),0)</f>
        <v>5.882352941176471</v>
      </c>
      <c r="AA194" s="60">
        <f>IF((AA193)&gt;0,(AA193/AA192),0)</f>
        <v>5.882352941176471</v>
      </c>
      <c r="AB194" s="95">
        <f>+SUM(X194:AA194)</f>
        <v>23.529411764705884</v>
      </c>
    </row>
    <row r="195" spans="1:28" ht="18" x14ac:dyDescent="0.4">
      <c r="A195" s="213"/>
      <c r="B195" s="245" t="s">
        <v>19</v>
      </c>
      <c r="C195" s="246"/>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3"/>
      <c r="B196" s="247" t="s">
        <v>154</v>
      </c>
      <c r="C196" s="248"/>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-52.049494113820188</v>
      </c>
      <c r="V196" s="30">
        <f>-V23</f>
        <v>-54.084864629132497</v>
      </c>
      <c r="W196" s="31"/>
      <c r="X196" s="30">
        <f>-X23</f>
        <v>-54.009643208406288</v>
      </c>
      <c r="Y196" s="30">
        <f>-Y23</f>
        <v>-47.746754049469196</v>
      </c>
      <c r="Z196" s="30">
        <f>-Z23</f>
        <v>-52.484808688970759</v>
      </c>
      <c r="AA196" s="30">
        <f>-AA23</f>
        <v>-52.094106550008831</v>
      </c>
      <c r="AB196" s="31"/>
    </row>
    <row r="197" spans="1:28" outlineLevel="1" x14ac:dyDescent="0.25">
      <c r="A197" s="213"/>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3"/>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3"/>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3"/>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3"/>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3"/>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3"/>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3"/>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3"/>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3"/>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3"/>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31">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8"/>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1">SUM(T196:T207)</f>
        <v>-141.4</v>
      </c>
      <c r="U208" s="106">
        <f t="shared" si="471"/>
        <v>-119.21743402246304</v>
      </c>
      <c r="V208" s="106">
        <f t="shared" si="471"/>
        <v>-138.96877045489299</v>
      </c>
      <c r="W208" s="107">
        <f t="shared" si="471"/>
        <v>0</v>
      </c>
      <c r="X208" s="106">
        <f t="shared" si="471"/>
        <v>-135.04815406624977</v>
      </c>
      <c r="Y208" s="106">
        <f t="shared" si="471"/>
        <v>-116.0193431975309</v>
      </c>
      <c r="Z208" s="106">
        <f t="shared" si="471"/>
        <v>-137.82554512404789</v>
      </c>
      <c r="AA208" s="106">
        <f t="shared" si="471"/>
        <v>-141.97804211669455</v>
      </c>
      <c r="AB208" s="38"/>
    </row>
    <row r="209" spans="1:28" ht="17.25" outlineLevel="1" x14ac:dyDescent="0.4">
      <c r="A209" s="213"/>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8"/>
      <c r="B210" s="68" t="s">
        <v>158</v>
      </c>
      <c r="C210" s="69"/>
      <c r="D210" s="106">
        <f t="shared" ref="D210:F210" si="472">-D208+D209</f>
        <v>12.3</v>
      </c>
      <c r="E210" s="106">
        <f t="shared" si="472"/>
        <v>13.9</v>
      </c>
      <c r="F210" s="106">
        <f t="shared" si="472"/>
        <v>17.3</v>
      </c>
      <c r="G210" s="106">
        <f>-G208+G209</f>
        <v>-120.60000000000001</v>
      </c>
      <c r="H210" s="107"/>
      <c r="I210" s="106">
        <f t="shared" ref="I210:S210" si="473">-I208+I209</f>
        <v>14</v>
      </c>
      <c r="J210" s="106">
        <f t="shared" si="473"/>
        <v>13.8</v>
      </c>
      <c r="K210" s="106">
        <f t="shared" si="473"/>
        <v>134.19999999999999</v>
      </c>
      <c r="L210" s="106">
        <f t="shared" si="473"/>
        <v>115.8</v>
      </c>
      <c r="M210" s="107"/>
      <c r="N210" s="106">
        <f t="shared" si="473"/>
        <v>51.4</v>
      </c>
      <c r="O210" s="106">
        <f t="shared" si="473"/>
        <v>204.6</v>
      </c>
      <c r="P210" s="106">
        <f t="shared" si="473"/>
        <v>131.69999999999999</v>
      </c>
      <c r="Q210" s="106">
        <f t="shared" si="473"/>
        <v>186.5</v>
      </c>
      <c r="R210" s="107"/>
      <c r="S210" s="106">
        <f t="shared" si="473"/>
        <v>138</v>
      </c>
      <c r="T210" s="106">
        <f t="shared" ref="T210:V210" si="474">-T208+T209</f>
        <v>141.4</v>
      </c>
      <c r="U210" s="106">
        <f t="shared" si="474"/>
        <v>119.21743402246304</v>
      </c>
      <c r="V210" s="106">
        <f t="shared" si="474"/>
        <v>138.96877045489299</v>
      </c>
      <c r="W210" s="38"/>
      <c r="X210" s="106">
        <f t="shared" ref="X210:AA210" si="475">-X208+X209</f>
        <v>135.04815406624977</v>
      </c>
      <c r="Y210" s="106">
        <f t="shared" si="475"/>
        <v>116.0193431975309</v>
      </c>
      <c r="Z210" s="106">
        <f t="shared" si="475"/>
        <v>137.82554512404789</v>
      </c>
      <c r="AA210" s="106">
        <f t="shared" si="475"/>
        <v>141.97804211669455</v>
      </c>
      <c r="AB210" s="38"/>
    </row>
    <row r="211" spans="1:28" outlineLevel="1" x14ac:dyDescent="0.25">
      <c r="A211" s="213"/>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6">
        <f>-0.02*T40</f>
        <v>-25.014000000000003</v>
      </c>
      <c r="U211" s="53">
        <v>0</v>
      </c>
      <c r="V211" s="53">
        <v>0</v>
      </c>
      <c r="W211" s="31"/>
      <c r="X211" s="53">
        <v>0</v>
      </c>
      <c r="Y211" s="53">
        <v>0</v>
      </c>
      <c r="Z211" s="53">
        <v>0</v>
      </c>
      <c r="AA211" s="53">
        <v>0</v>
      </c>
      <c r="AB211" s="31"/>
    </row>
    <row r="212" spans="1:28" outlineLevel="1" x14ac:dyDescent="0.25">
      <c r="A212" s="213"/>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23.84348680449261</v>
      </c>
      <c r="V212" s="30">
        <f t="shared" ref="V212" si="476">+V210*V213</f>
        <v>27.793754090978599</v>
      </c>
      <c r="W212" s="31"/>
      <c r="X212" s="30">
        <f>+X210*X213</f>
        <v>27.009630813249956</v>
      </c>
      <c r="Y212" s="30">
        <f>+Y210*Y213</f>
        <v>23.203868639506183</v>
      </c>
      <c r="Z212" s="30">
        <f t="shared" ref="Z212" si="477">+Z210*Z213</f>
        <v>27.56510902480958</v>
      </c>
      <c r="AA212" s="30">
        <f t="shared" ref="AA212" si="478">+AA210*AA213</f>
        <v>28.395608423338913</v>
      </c>
      <c r="AB212" s="31"/>
    </row>
    <row r="213" spans="1:28" outlineLevel="1" x14ac:dyDescent="0.25">
      <c r="A213" s="213"/>
      <c r="B213" s="71" t="s">
        <v>173</v>
      </c>
      <c r="C213" s="92"/>
      <c r="D213" s="196">
        <f t="shared" ref="D213:F213" si="479">D212/D210</f>
        <v>0.16260162601626016</v>
      </c>
      <c r="E213" s="196">
        <f t="shared" si="479"/>
        <v>0.21582733812949639</v>
      </c>
      <c r="F213" s="196">
        <f t="shared" si="479"/>
        <v>2.6903468208092156</v>
      </c>
      <c r="G213" s="196">
        <f>G212/G210</f>
        <v>-0.49290102117705942</v>
      </c>
      <c r="H213" s="95"/>
      <c r="I213" s="196">
        <f t="shared" ref="I213" si="480">I212/I210</f>
        <v>0.17857142857142858</v>
      </c>
      <c r="J213" s="196">
        <f t="shared" ref="J213" si="481">J212/J210</f>
        <v>0.14492753623188406</v>
      </c>
      <c r="K213" s="196">
        <f t="shared" ref="K213" si="482">K212/K210</f>
        <v>0.17235469448584617</v>
      </c>
      <c r="L213" s="196">
        <f>L212/L210</f>
        <v>0.91658031088082448</v>
      </c>
      <c r="M213" s="95"/>
      <c r="N213" s="196">
        <f t="shared" ref="N213" si="483">N212/N210</f>
        <v>-8.9122568093385137</v>
      </c>
      <c r="O213" s="196">
        <f t="shared" ref="O213" si="484">O212/O210</f>
        <v>0.37391006842619767</v>
      </c>
      <c r="P213" s="196">
        <f t="shared" ref="P213" si="485">P212/P210</f>
        <v>0.91746393318147534</v>
      </c>
      <c r="Q213" s="196">
        <f>Q212/Q210</f>
        <v>0.55311528150134015</v>
      </c>
      <c r="R213" s="95"/>
      <c r="S213" s="196">
        <f t="shared" ref="S213:T213" si="486">S212/S210</f>
        <v>-0.30036231884056991</v>
      </c>
      <c r="T213" s="196">
        <f t="shared" si="486"/>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1"/>
      <c r="O214" s="201"/>
      <c r="P214" s="201"/>
      <c r="Q214" s="201"/>
      <c r="R214" s="201"/>
      <c r="S214" s="201"/>
      <c r="U214" s="3"/>
      <c r="V214" s="3"/>
      <c r="W214" s="79"/>
      <c r="Z214" s="3"/>
      <c r="AA214" s="3"/>
      <c r="AB214" s="79"/>
    </row>
  </sheetData>
  <dataConsolidate/>
  <mergeCells count="68">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166:C166"/>
    <mergeCell ref="B168:C168"/>
    <mergeCell ref="B170:C170"/>
    <mergeCell ref="B151:C151"/>
    <mergeCell ref="B163:C163"/>
    <mergeCell ref="B164:C164"/>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1"/>
  <sheetViews>
    <sheetView showGridLines="0" workbookViewId="0">
      <selection activeCell="G21" sqref="G21"/>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t="s">
        <v>185</v>
      </c>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84"/>
      <c r="I7" s="284"/>
      <c r="J7" s="284"/>
      <c r="K7" s="284"/>
      <c r="L7" s="284"/>
      <c r="M7" s="284"/>
      <c r="N7" s="284"/>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2019-07-20T00:19:29Z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