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mc:AlternateContent xmlns:mc="http://schemas.openxmlformats.org/markup-compatibility/2006">
    <mc:Choice Requires="x15">
      <x15ac:absPath xmlns:x15ac="http://schemas.microsoft.com/office/spreadsheetml/2010/11/ac" url="C:\Users\Admin\Documents\Gutenberg\2-INTERN PROGRAM\2Q2019 Earnings Season\Intern Submissions\"/>
    </mc:Choice>
  </mc:AlternateContent>
  <xr:revisionPtr revIDLastSave="0" documentId="13_ncr:1_{A67D78D1-E23E-4A73-8902-1A1B37CD5F31}" xr6:coauthVersionLast="43" xr6:coauthVersionMax="43" xr10:uidLastSave="{00000000-0000-0000-0000-000000000000}"/>
  <bookViews>
    <workbookView xWindow="25920" yWindow="3165" windowWidth="24255" windowHeight="13680"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Model'!$B$2:$AB$214</definedName>
  </definedNames>
  <calcPr calcId="18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S114" i="3" l="1"/>
  <c r="W50" i="3" l="1"/>
  <c r="W61" i="3"/>
  <c r="X88" i="3"/>
  <c r="Y88" i="3"/>
  <c r="X55" i="3"/>
  <c r="Y55" i="3" s="1"/>
  <c r="Z55" i="3" s="1"/>
  <c r="AA55" i="3" s="1"/>
  <c r="U21" i="3"/>
  <c r="D16" i="3"/>
  <c r="D24" i="3"/>
  <c r="D26" i="3"/>
  <c r="D32" i="3" s="1"/>
  <c r="D34" i="3" s="1"/>
  <c r="E16" i="3"/>
  <c r="E24" i="3"/>
  <c r="E26" i="3" s="1"/>
  <c r="E32" i="3" s="1"/>
  <c r="E34" i="3" s="1"/>
  <c r="E36" i="3" s="1"/>
  <c r="F16" i="3"/>
  <c r="F24" i="3"/>
  <c r="G16" i="3"/>
  <c r="G19" i="3"/>
  <c r="G20" i="3"/>
  <c r="G21" i="3"/>
  <c r="H21" i="3" s="1"/>
  <c r="G22" i="3"/>
  <c r="G17" i="3"/>
  <c r="G25" i="3"/>
  <c r="G30" i="3"/>
  <c r="G31" i="3"/>
  <c r="G33" i="3"/>
  <c r="M13" i="3"/>
  <c r="M14" i="3"/>
  <c r="M15" i="3"/>
  <c r="M19" i="3"/>
  <c r="M20" i="3"/>
  <c r="M21" i="3"/>
  <c r="M22" i="3"/>
  <c r="M23" i="3"/>
  <c r="M17" i="3"/>
  <c r="M24" i="3"/>
  <c r="M25" i="3"/>
  <c r="L30" i="3"/>
  <c r="M30" i="3" s="1"/>
  <c r="L31" i="3"/>
  <c r="M31" i="3" s="1"/>
  <c r="M29" i="3"/>
  <c r="L33" i="3"/>
  <c r="M33" i="3" s="1"/>
  <c r="R13" i="3"/>
  <c r="R14" i="3"/>
  <c r="R15" i="3"/>
  <c r="R16" i="3"/>
  <c r="R19" i="3"/>
  <c r="R20" i="3"/>
  <c r="R21" i="3"/>
  <c r="R22" i="3"/>
  <c r="R23" i="3"/>
  <c r="R17" i="3"/>
  <c r="R24" i="3" s="1"/>
  <c r="R26" i="3" s="1"/>
  <c r="R32" i="3" s="1"/>
  <c r="R34" i="3" s="1"/>
  <c r="R25" i="3"/>
  <c r="N30" i="3"/>
  <c r="Q30" i="3"/>
  <c r="R30" i="3"/>
  <c r="R31" i="3"/>
  <c r="N29" i="3"/>
  <c r="O29" i="3"/>
  <c r="R29" i="3"/>
  <c r="R33" i="3"/>
  <c r="S16" i="3"/>
  <c r="S26" i="3" s="1"/>
  <c r="S32" i="3" s="1"/>
  <c r="S24" i="3"/>
  <c r="T16" i="3"/>
  <c r="T26" i="3" s="1"/>
  <c r="T24" i="3"/>
  <c r="T32" i="3"/>
  <c r="T34" i="3"/>
  <c r="U51" i="3"/>
  <c r="P52" i="3"/>
  <c r="U52" i="3"/>
  <c r="T51" i="3"/>
  <c r="T56" i="3" s="1"/>
  <c r="T58" i="3"/>
  <c r="S51" i="3"/>
  <c r="S56" i="3" s="1"/>
  <c r="S58" i="3"/>
  <c r="Q51" i="3"/>
  <c r="Q58" i="3"/>
  <c r="Q56" i="3"/>
  <c r="P51" i="3"/>
  <c r="P58" i="3"/>
  <c r="P56" i="3"/>
  <c r="U56" i="3"/>
  <c r="V56" i="3" s="1"/>
  <c r="U84" i="3"/>
  <c r="P85" i="3"/>
  <c r="U85" i="3"/>
  <c r="T84" i="3"/>
  <c r="T89" i="3" s="1"/>
  <c r="U89" i="3" s="1"/>
  <c r="V89" i="3" s="1"/>
  <c r="X89" i="3" s="1"/>
  <c r="Y89" i="3" s="1"/>
  <c r="T91" i="3"/>
  <c r="S84" i="3"/>
  <c r="S89" i="3" s="1"/>
  <c r="S91" i="3"/>
  <c r="U90" i="3"/>
  <c r="U118" i="3"/>
  <c r="P119" i="3"/>
  <c r="U122" i="3"/>
  <c r="U119" i="3"/>
  <c r="T118" i="3"/>
  <c r="T123" i="3" s="1"/>
  <c r="T125" i="3"/>
  <c r="S118" i="3"/>
  <c r="S125" i="3"/>
  <c r="Q118" i="3"/>
  <c r="Q125" i="3"/>
  <c r="Q123" i="3" s="1"/>
  <c r="Q126" i="3" s="1"/>
  <c r="P118" i="3"/>
  <c r="P125" i="3"/>
  <c r="P123" i="3"/>
  <c r="U164" i="3"/>
  <c r="U60" i="3"/>
  <c r="V60" i="3" s="1"/>
  <c r="U62" i="3"/>
  <c r="P62" i="3"/>
  <c r="P63" i="3" s="1"/>
  <c r="U63" i="3"/>
  <c r="Z63" i="3" s="1"/>
  <c r="U93" i="3"/>
  <c r="U95" i="3" s="1"/>
  <c r="P95" i="3"/>
  <c r="P96" i="3"/>
  <c r="U96" i="3" s="1"/>
  <c r="Z96" i="3" s="1"/>
  <c r="U127" i="3"/>
  <c r="U129" i="3" s="1"/>
  <c r="P129" i="3"/>
  <c r="P130" i="3"/>
  <c r="U130" i="3" s="1"/>
  <c r="Z130" i="3" s="1"/>
  <c r="S167" i="3"/>
  <c r="Q167" i="3"/>
  <c r="P167" i="3"/>
  <c r="U65" i="3"/>
  <c r="U98" i="3"/>
  <c r="T133" i="3"/>
  <c r="S133" i="3"/>
  <c r="U133" i="3"/>
  <c r="T150" i="3"/>
  <c r="S150" i="3"/>
  <c r="U150" i="3" s="1"/>
  <c r="U149" i="3" s="1"/>
  <c r="Q150" i="3"/>
  <c r="P150" i="3"/>
  <c r="T169" i="3"/>
  <c r="S169" i="3"/>
  <c r="Q169" i="3"/>
  <c r="P169" i="3"/>
  <c r="U169" i="3"/>
  <c r="T76" i="3"/>
  <c r="T79" i="3"/>
  <c r="T109" i="3"/>
  <c r="T113" i="3" s="1"/>
  <c r="T143" i="3"/>
  <c r="T146" i="3" s="1"/>
  <c r="T157" i="3"/>
  <c r="T161" i="3"/>
  <c r="U171" i="3"/>
  <c r="U172" i="3"/>
  <c r="V172" i="3" s="1"/>
  <c r="U174" i="3"/>
  <c r="U175" i="3"/>
  <c r="V175" i="3" s="1"/>
  <c r="X175" i="3" s="1"/>
  <c r="U170" i="3"/>
  <c r="U110" i="3"/>
  <c r="U158" i="3"/>
  <c r="V158" i="3" s="1"/>
  <c r="X158" i="3" s="1"/>
  <c r="U25" i="3"/>
  <c r="V51" i="3"/>
  <c r="Q52" i="3"/>
  <c r="V52" i="3"/>
  <c r="V84" i="3"/>
  <c r="Q85" i="3"/>
  <c r="V85" i="3" s="1"/>
  <c r="V90" i="3" s="1"/>
  <c r="V118" i="3"/>
  <c r="Q119" i="3"/>
  <c r="V119" i="3" s="1"/>
  <c r="V122" i="3"/>
  <c r="V164" i="3"/>
  <c r="V62" i="3"/>
  <c r="V64" i="3" s="1"/>
  <c r="Q62" i="3"/>
  <c r="Q63" i="3" s="1"/>
  <c r="V63" i="3" s="1"/>
  <c r="V93" i="3"/>
  <c r="Q95" i="3"/>
  <c r="Q96" i="3"/>
  <c r="V96" i="3"/>
  <c r="V127" i="3"/>
  <c r="V129" i="3"/>
  <c r="V131" i="3" s="1"/>
  <c r="Q129" i="3"/>
  <c r="Q130" i="3" s="1"/>
  <c r="V130" i="3"/>
  <c r="V65" i="3"/>
  <c r="V98" i="3"/>
  <c r="V149" i="3"/>
  <c r="V171" i="3"/>
  <c r="V21" i="3"/>
  <c r="V174" i="3"/>
  <c r="X174" i="3" s="1"/>
  <c r="V170" i="3"/>
  <c r="X170" i="3" s="1"/>
  <c r="V110" i="3"/>
  <c r="V25" i="3"/>
  <c r="W25" i="3" s="1"/>
  <c r="U194" i="3"/>
  <c r="U39" i="3" s="1"/>
  <c r="Q16" i="3"/>
  <c r="P16" i="3"/>
  <c r="P26" i="3" s="1"/>
  <c r="N16" i="3"/>
  <c r="N26" i="3" s="1"/>
  <c r="N186" i="3" s="1"/>
  <c r="N24" i="3"/>
  <c r="N32" i="3"/>
  <c r="N34" i="3" s="1"/>
  <c r="O16" i="3"/>
  <c r="O24" i="3"/>
  <c r="O26" i="3"/>
  <c r="O32" i="3" s="1"/>
  <c r="O34" i="3" s="1"/>
  <c r="P24" i="3"/>
  <c r="P32" i="3"/>
  <c r="P34" i="3" s="1"/>
  <c r="Q24" i="3"/>
  <c r="Q26" i="3"/>
  <c r="Q32" i="3" s="1"/>
  <c r="Q34" i="3" s="1"/>
  <c r="W21" i="3"/>
  <c r="W30" i="3"/>
  <c r="W31" i="3"/>
  <c r="W29" i="3"/>
  <c r="Y51" i="3"/>
  <c r="O52" i="3"/>
  <c r="T52" i="3" s="1"/>
  <c r="Y84" i="3"/>
  <c r="O85" i="3"/>
  <c r="T85" i="3"/>
  <c r="Y85" i="3"/>
  <c r="Y90" i="3" s="1"/>
  <c r="Y118" i="3"/>
  <c r="O119" i="3"/>
  <c r="T119" i="3" s="1"/>
  <c r="X122" i="3"/>
  <c r="Y122" i="3" s="1"/>
  <c r="Z122" i="3" s="1"/>
  <c r="AA122" i="3" s="1"/>
  <c r="AA119" i="3" s="1"/>
  <c r="Y164" i="3"/>
  <c r="S61" i="3"/>
  <c r="X61" i="3"/>
  <c r="Y61" i="3" s="1"/>
  <c r="T62" i="3"/>
  <c r="T63" i="3" s="1"/>
  <c r="Y63" i="3" s="1"/>
  <c r="S94" i="3"/>
  <c r="X94" i="3"/>
  <c r="T95" i="3"/>
  <c r="T96" i="3" s="1"/>
  <c r="Y96" i="3"/>
  <c r="X127" i="3"/>
  <c r="Y127" i="3"/>
  <c r="Y129" i="3" s="1"/>
  <c r="T129" i="3"/>
  <c r="T130" i="3"/>
  <c r="Y130" i="3" s="1"/>
  <c r="Y65" i="3"/>
  <c r="Y98" i="3"/>
  <c r="Y149" i="3"/>
  <c r="T69" i="3"/>
  <c r="T80" i="3"/>
  <c r="X65" i="3"/>
  <c r="S62" i="3"/>
  <c r="S63" i="3"/>
  <c r="X63" i="3" s="1"/>
  <c r="X51" i="3"/>
  <c r="N52" i="3"/>
  <c r="S52" i="3" s="1"/>
  <c r="T102" i="3"/>
  <c r="T114" i="3" s="1"/>
  <c r="Y114" i="3"/>
  <c r="X98" i="3"/>
  <c r="S95" i="3"/>
  <c r="S96" i="3"/>
  <c r="X96" i="3" s="1"/>
  <c r="X84" i="3"/>
  <c r="X90" i="3" s="1"/>
  <c r="N85" i="3"/>
  <c r="S85" i="3"/>
  <c r="X85" i="3" s="1"/>
  <c r="S109" i="3"/>
  <c r="S113" i="3"/>
  <c r="S102" i="3"/>
  <c r="T136" i="3"/>
  <c r="T147" i="3"/>
  <c r="Y147" i="3" s="1"/>
  <c r="X129" i="3"/>
  <c r="X131" i="3" s="1"/>
  <c r="S129" i="3"/>
  <c r="S130" i="3"/>
  <c r="X130" i="3" s="1"/>
  <c r="X118" i="3"/>
  <c r="N119" i="3"/>
  <c r="S119" i="3" s="1"/>
  <c r="S143" i="3"/>
  <c r="S146" i="3"/>
  <c r="S147" i="3" s="1"/>
  <c r="X147" i="3" s="1"/>
  <c r="S136" i="3"/>
  <c r="T162" i="3"/>
  <c r="Y162" i="3" s="1"/>
  <c r="X149" i="3"/>
  <c r="S157" i="3"/>
  <c r="S161" i="3"/>
  <c r="S162" i="3" s="1"/>
  <c r="X162" i="3" s="1"/>
  <c r="X171" i="3"/>
  <c r="Y171" i="3" s="1"/>
  <c r="Z171" i="3" s="1"/>
  <c r="AA171" i="3" s="1"/>
  <c r="X172" i="3"/>
  <c r="Y172" i="3" s="1"/>
  <c r="X164" i="3"/>
  <c r="Y21" i="3"/>
  <c r="Y174" i="3"/>
  <c r="Y175" i="3"/>
  <c r="Y170" i="3"/>
  <c r="Z170" i="3" s="1"/>
  <c r="AA170" i="3" s="1"/>
  <c r="X110" i="3"/>
  <c r="Y110" i="3"/>
  <c r="Y158" i="3"/>
  <c r="Y25" i="3"/>
  <c r="Y207" i="3"/>
  <c r="Z207" i="3" s="1"/>
  <c r="AA207" i="3"/>
  <c r="V44" i="3"/>
  <c r="V194" i="3"/>
  <c r="X44" i="3"/>
  <c r="X192" i="3"/>
  <c r="X194" i="3" s="1"/>
  <c r="X21" i="3"/>
  <c r="AB21" i="3" s="1"/>
  <c r="X25" i="3"/>
  <c r="T188" i="3"/>
  <c r="U35" i="3"/>
  <c r="V35" i="3" s="1"/>
  <c r="X35" i="3"/>
  <c r="Y35" i="3" s="1"/>
  <c r="U40" i="3"/>
  <c r="Y192" i="3"/>
  <c r="Y194" i="3" s="1"/>
  <c r="AA96" i="3"/>
  <c r="AA130" i="3"/>
  <c r="Z88" i="3"/>
  <c r="Z85" i="3"/>
  <c r="U82" i="3"/>
  <c r="Z84" i="3"/>
  <c r="O118" i="3"/>
  <c r="O125" i="3"/>
  <c r="O123" i="3"/>
  <c r="J118" i="3"/>
  <c r="J123" i="3" s="1"/>
  <c r="J125" i="3"/>
  <c r="K118" i="3"/>
  <c r="K123" i="3" s="1"/>
  <c r="K126" i="3" s="1"/>
  <c r="K125" i="3"/>
  <c r="I118" i="3"/>
  <c r="I125" i="3"/>
  <c r="I123" i="3" s="1"/>
  <c r="U116" i="3"/>
  <c r="Z118" i="3" s="1"/>
  <c r="N118" i="3"/>
  <c r="L118" i="3"/>
  <c r="S83" i="3"/>
  <c r="W94" i="3"/>
  <c r="O51" i="3"/>
  <c r="O56" i="3" s="1"/>
  <c r="O58" i="3"/>
  <c r="K51" i="3"/>
  <c r="K58" i="3"/>
  <c r="K56" i="3" s="1"/>
  <c r="J51" i="3"/>
  <c r="J58" i="3"/>
  <c r="J56" i="3"/>
  <c r="I51" i="3"/>
  <c r="I56" i="3" s="1"/>
  <c r="I58" i="3"/>
  <c r="N51" i="3"/>
  <c r="N56" i="3" s="1"/>
  <c r="N58" i="3"/>
  <c r="U49" i="3"/>
  <c r="V49" i="3"/>
  <c r="S50" i="3"/>
  <c r="X50" i="3"/>
  <c r="Y50" i="3"/>
  <c r="Z50" i="3" s="1"/>
  <c r="Z51" i="3"/>
  <c r="L51" i="3"/>
  <c r="L56" i="3" s="1"/>
  <c r="L59" i="3" s="1"/>
  <c r="L84" i="3"/>
  <c r="L89" i="3" s="1"/>
  <c r="L91" i="3"/>
  <c r="K84" i="3"/>
  <c r="K89" i="3" s="1"/>
  <c r="K91" i="3"/>
  <c r="O84" i="3"/>
  <c r="O91" i="3"/>
  <c r="O89" i="3" s="1"/>
  <c r="J84" i="3"/>
  <c r="J91" i="3"/>
  <c r="J89" i="3"/>
  <c r="N84" i="3"/>
  <c r="N89" i="3" s="1"/>
  <c r="N91" i="3"/>
  <c r="I84" i="3"/>
  <c r="I89" i="3" s="1"/>
  <c r="I92" i="3" s="1"/>
  <c r="I91" i="3"/>
  <c r="V82" i="3"/>
  <c r="AA84" i="3"/>
  <c r="Q84" i="3"/>
  <c r="P84" i="3"/>
  <c r="T66" i="3"/>
  <c r="T211" i="3"/>
  <c r="T208" i="3"/>
  <c r="T210" i="3"/>
  <c r="T213" i="3" s="1"/>
  <c r="T193" i="3"/>
  <c r="T194" i="3" s="1"/>
  <c r="T165" i="3"/>
  <c r="T99" i="3"/>
  <c r="T67" i="3"/>
  <c r="T68" i="3"/>
  <c r="I16" i="3"/>
  <c r="I26" i="3" s="1"/>
  <c r="I32" i="3" s="1"/>
  <c r="I34" i="3" s="1"/>
  <c r="I36" i="3" s="1"/>
  <c r="I24" i="3"/>
  <c r="J16" i="3"/>
  <c r="J26" i="3" s="1"/>
  <c r="J32" i="3" s="1"/>
  <c r="J34" i="3" s="1"/>
  <c r="J24" i="3"/>
  <c r="K16" i="3"/>
  <c r="K26" i="3" s="1"/>
  <c r="K24" i="3"/>
  <c r="K32" i="3"/>
  <c r="L16" i="3"/>
  <c r="L24" i="3"/>
  <c r="L26" i="3"/>
  <c r="L32" i="3" s="1"/>
  <c r="L34" i="3" s="1"/>
  <c r="L36" i="3" s="1"/>
  <c r="Q91" i="3"/>
  <c r="Q89" i="3"/>
  <c r="P91" i="3"/>
  <c r="P89" i="3"/>
  <c r="S165" i="3"/>
  <c r="Q165" i="3"/>
  <c r="P165" i="3"/>
  <c r="O165" i="3"/>
  <c r="O95" i="3"/>
  <c r="O96" i="3"/>
  <c r="O129" i="3"/>
  <c r="O130" i="3"/>
  <c r="O167" i="3"/>
  <c r="O62" i="3"/>
  <c r="O63" i="3" s="1"/>
  <c r="O169" i="3"/>
  <c r="O150" i="3"/>
  <c r="O194" i="3"/>
  <c r="P194" i="3"/>
  <c r="P191" i="3" s="1"/>
  <c r="Q194" i="3"/>
  <c r="Q190" i="3" s="1"/>
  <c r="S193" i="3"/>
  <c r="S194" i="3" s="1"/>
  <c r="S191" i="3" s="1"/>
  <c r="S190" i="3"/>
  <c r="S76" i="3"/>
  <c r="S79" i="3"/>
  <c r="S80" i="3" s="1"/>
  <c r="S117" i="3"/>
  <c r="X117" i="3"/>
  <c r="S69" i="3"/>
  <c r="Y44" i="3"/>
  <c r="Z89" i="3"/>
  <c r="AA89" i="3" s="1"/>
  <c r="Z164" i="3"/>
  <c r="Z127" i="3"/>
  <c r="Z129" i="3" s="1"/>
  <c r="Z131" i="3" s="1"/>
  <c r="Z61" i="3"/>
  <c r="Z98" i="3"/>
  <c r="Z65" i="3"/>
  <c r="Z44" i="3"/>
  <c r="Z190" i="3"/>
  <c r="Z192" i="3"/>
  <c r="Z114" i="3"/>
  <c r="Z147" i="3"/>
  <c r="Z162" i="3"/>
  <c r="Z172" i="3"/>
  <c r="Z174" i="3"/>
  <c r="Z175" i="3"/>
  <c r="Z110" i="3"/>
  <c r="Z25" i="3" s="1"/>
  <c r="Z158" i="3"/>
  <c r="AA164" i="3"/>
  <c r="AA61" i="3"/>
  <c r="AA63" i="3"/>
  <c r="AA98" i="3"/>
  <c r="AA149" i="3"/>
  <c r="AA65" i="3"/>
  <c r="AA44" i="3"/>
  <c r="AA190" i="3"/>
  <c r="AA114" i="3"/>
  <c r="AA147" i="3"/>
  <c r="AA162" i="3"/>
  <c r="AA172" i="3"/>
  <c r="AA174" i="3"/>
  <c r="AA175" i="3"/>
  <c r="AA158" i="3"/>
  <c r="AB31" i="3"/>
  <c r="AB29" i="3"/>
  <c r="Q191" i="3"/>
  <c r="W35" i="3"/>
  <c r="T36" i="3"/>
  <c r="Z191" i="3"/>
  <c r="AA191" i="3"/>
  <c r="D36" i="3"/>
  <c r="H13" i="3"/>
  <c r="H14" i="3"/>
  <c r="H15" i="3"/>
  <c r="H16" i="3"/>
  <c r="H19" i="3"/>
  <c r="H20" i="3"/>
  <c r="H22" i="3"/>
  <c r="H23" i="3"/>
  <c r="H17" i="3"/>
  <c r="H25" i="3"/>
  <c r="H30" i="3"/>
  <c r="H31" i="3"/>
  <c r="H29" i="3"/>
  <c r="H33" i="3"/>
  <c r="G35" i="3"/>
  <c r="H35" i="3" s="1"/>
  <c r="M35" i="3"/>
  <c r="J36" i="3"/>
  <c r="T27" i="3"/>
  <c r="T28" i="3" s="1"/>
  <c r="T37" i="3"/>
  <c r="M149" i="3"/>
  <c r="R149" i="3"/>
  <c r="M57" i="3"/>
  <c r="R57" i="3"/>
  <c r="R193" i="3"/>
  <c r="R35" i="3"/>
  <c r="W208" i="3"/>
  <c r="O198" i="3"/>
  <c r="O208" i="3" s="1"/>
  <c r="O210" i="3" s="1"/>
  <c r="O213" i="3" s="1"/>
  <c r="O196" i="3"/>
  <c r="P198" i="3"/>
  <c r="P197" i="3"/>
  <c r="P196" i="3"/>
  <c r="Q198" i="3"/>
  <c r="Q197" i="3"/>
  <c r="Q196" i="3"/>
  <c r="N198" i="3"/>
  <c r="N208" i="3" s="1"/>
  <c r="N210" i="3" s="1"/>
  <c r="N27" i="3" s="1"/>
  <c r="N196" i="3"/>
  <c r="S198" i="3"/>
  <c r="S197" i="3"/>
  <c r="S196" i="3"/>
  <c r="S208" i="3" s="1"/>
  <c r="S210" i="3" s="1"/>
  <c r="G37" i="3"/>
  <c r="E37" i="3"/>
  <c r="H37" i="3" s="1"/>
  <c r="F37" i="3"/>
  <c r="I37" i="3"/>
  <c r="M37" i="3" s="1"/>
  <c r="J37" i="3"/>
  <c r="K37" i="3"/>
  <c r="L37" i="3"/>
  <c r="P37" i="3"/>
  <c r="Q37" i="3"/>
  <c r="S37" i="3"/>
  <c r="D37" i="3"/>
  <c r="O211" i="3"/>
  <c r="O37" i="3" s="1"/>
  <c r="R37" i="3" s="1"/>
  <c r="D208" i="3"/>
  <c r="D210" i="3" s="1"/>
  <c r="E208" i="3"/>
  <c r="E210" i="3" s="1"/>
  <c r="F208" i="3"/>
  <c r="F210" i="3" s="1"/>
  <c r="F27" i="3" s="1"/>
  <c r="G208" i="3"/>
  <c r="G210" i="3" s="1"/>
  <c r="I208" i="3"/>
  <c r="I210" i="3" s="1"/>
  <c r="J208" i="3"/>
  <c r="K208" i="3"/>
  <c r="L208" i="3"/>
  <c r="L210" i="3" s="1"/>
  <c r="N211" i="3"/>
  <c r="N37" i="3" s="1"/>
  <c r="E61" i="3"/>
  <c r="F61" i="3"/>
  <c r="G61" i="3"/>
  <c r="E62" i="3"/>
  <c r="F62" i="3"/>
  <c r="G62" i="3"/>
  <c r="R44" i="3"/>
  <c r="M44" i="3"/>
  <c r="H44" i="3"/>
  <c r="Q208" i="3"/>
  <c r="Q210" i="3"/>
  <c r="Q27" i="3"/>
  <c r="W44" i="3"/>
  <c r="K210" i="3"/>
  <c r="J210" i="3"/>
  <c r="I213" i="3"/>
  <c r="I27" i="3"/>
  <c r="D213" i="3"/>
  <c r="D27" i="3"/>
  <c r="E27" i="3"/>
  <c r="E213" i="3"/>
  <c r="P208" i="3"/>
  <c r="P210" i="3" s="1"/>
  <c r="P27" i="3" s="1"/>
  <c r="P28" i="3" s="1"/>
  <c r="I182" i="3"/>
  <c r="J182" i="3"/>
  <c r="K182" i="3"/>
  <c r="L182" i="3"/>
  <c r="N182" i="3"/>
  <c r="O182" i="3"/>
  <c r="P182" i="3"/>
  <c r="Q182" i="3"/>
  <c r="S182" i="3"/>
  <c r="T182" i="3"/>
  <c r="I179" i="3"/>
  <c r="J179" i="3"/>
  <c r="K179" i="3"/>
  <c r="L179" i="3"/>
  <c r="N179" i="3"/>
  <c r="O179" i="3"/>
  <c r="P179" i="3"/>
  <c r="Q179" i="3"/>
  <c r="I180" i="3"/>
  <c r="J180" i="3"/>
  <c r="K180" i="3"/>
  <c r="L180" i="3"/>
  <c r="N180" i="3"/>
  <c r="O180" i="3"/>
  <c r="P180" i="3"/>
  <c r="Q180" i="3"/>
  <c r="I181" i="3"/>
  <c r="J181" i="3"/>
  <c r="K181" i="3"/>
  <c r="L181" i="3"/>
  <c r="N181" i="3"/>
  <c r="O181" i="3"/>
  <c r="P181" i="3"/>
  <c r="Q181" i="3"/>
  <c r="S181" i="3"/>
  <c r="S180" i="3"/>
  <c r="S179" i="3"/>
  <c r="M177" i="3"/>
  <c r="N165" i="3"/>
  <c r="N167" i="3"/>
  <c r="I136" i="3"/>
  <c r="J136" i="3"/>
  <c r="K136" i="3"/>
  <c r="L136" i="3"/>
  <c r="N136" i="3"/>
  <c r="O136" i="3"/>
  <c r="P136" i="3"/>
  <c r="Q136" i="3"/>
  <c r="S176" i="3"/>
  <c r="S177" i="3"/>
  <c r="Q176" i="3"/>
  <c r="P176" i="3"/>
  <c r="O176" i="3"/>
  <c r="O177" i="3"/>
  <c r="N176" i="3"/>
  <c r="L176" i="3"/>
  <c r="K176" i="3"/>
  <c r="K177" i="3"/>
  <c r="J176" i="3"/>
  <c r="I176" i="3"/>
  <c r="N169" i="3"/>
  <c r="S159" i="3"/>
  <c r="Q157" i="3"/>
  <c r="Q161" i="3"/>
  <c r="Q162" i="3"/>
  <c r="P157" i="3"/>
  <c r="P161" i="3"/>
  <c r="P162" i="3"/>
  <c r="O157" i="3"/>
  <c r="N157" i="3"/>
  <c r="N161" i="3"/>
  <c r="N162" i="3" s="1"/>
  <c r="L157" i="3"/>
  <c r="L161" i="3"/>
  <c r="L162" i="3"/>
  <c r="K157" i="3"/>
  <c r="K161" i="3"/>
  <c r="K162" i="3"/>
  <c r="J157" i="3"/>
  <c r="I157" i="3"/>
  <c r="I161" i="3"/>
  <c r="I162" i="3" s="1"/>
  <c r="N150" i="3"/>
  <c r="Q143" i="3"/>
  <c r="Q146" i="3"/>
  <c r="Q147" i="3" s="1"/>
  <c r="P143" i="3"/>
  <c r="P146" i="3" s="1"/>
  <c r="P147" i="3" s="1"/>
  <c r="O143" i="3"/>
  <c r="O146" i="3"/>
  <c r="O147" i="3" s="1"/>
  <c r="N143" i="3"/>
  <c r="N146" i="3" s="1"/>
  <c r="L143" i="3"/>
  <c r="L146" i="3"/>
  <c r="L147" i="3" s="1"/>
  <c r="K143" i="3"/>
  <c r="K146" i="3" s="1"/>
  <c r="K147" i="3" s="1"/>
  <c r="J143" i="3"/>
  <c r="J146" i="3"/>
  <c r="I143" i="3"/>
  <c r="I146" i="3" s="1"/>
  <c r="V135" i="3"/>
  <c r="U135" i="3"/>
  <c r="T135" i="3"/>
  <c r="S134" i="3"/>
  <c r="Q134" i="3"/>
  <c r="P134" i="3"/>
  <c r="O134" i="3"/>
  <c r="N134" i="3"/>
  <c r="L134" i="3"/>
  <c r="K134" i="3"/>
  <c r="J134" i="3"/>
  <c r="I134" i="3"/>
  <c r="N129" i="3"/>
  <c r="N130" i="3"/>
  <c r="L129" i="3"/>
  <c r="L130" i="3" s="1"/>
  <c r="K129" i="3"/>
  <c r="K130" i="3"/>
  <c r="J129" i="3"/>
  <c r="J130" i="3" s="1"/>
  <c r="I129" i="3"/>
  <c r="I130" i="3"/>
  <c r="G129" i="3"/>
  <c r="F129" i="3"/>
  <c r="E129" i="3"/>
  <c r="AB128" i="3"/>
  <c r="S128" i="3"/>
  <c r="W128" i="3" s="1"/>
  <c r="W135" i="3" s="1"/>
  <c r="Q128" i="3"/>
  <c r="P128" i="3"/>
  <c r="O128" i="3"/>
  <c r="N128" i="3"/>
  <c r="L128" i="3"/>
  <c r="K128" i="3"/>
  <c r="K135" i="3" s="1"/>
  <c r="J128" i="3"/>
  <c r="I128" i="3"/>
  <c r="G128" i="3"/>
  <c r="F128" i="3"/>
  <c r="E128" i="3"/>
  <c r="N125" i="3"/>
  <c r="L125" i="3"/>
  <c r="L123" i="3" s="1"/>
  <c r="L126" i="3" s="1"/>
  <c r="N123" i="3"/>
  <c r="N126" i="3" s="1"/>
  <c r="Q117" i="3"/>
  <c r="P117" i="3"/>
  <c r="O117" i="3"/>
  <c r="N117" i="3"/>
  <c r="L117" i="3"/>
  <c r="K117" i="3"/>
  <c r="J117" i="3"/>
  <c r="M117" i="3" s="1"/>
  <c r="I117" i="3"/>
  <c r="Q109" i="3"/>
  <c r="Q113" i="3"/>
  <c r="P109" i="3"/>
  <c r="P113" i="3" s="1"/>
  <c r="P114" i="3" s="1"/>
  <c r="O109" i="3"/>
  <c r="O113" i="3"/>
  <c r="N109" i="3"/>
  <c r="L109" i="3"/>
  <c r="L113" i="3"/>
  <c r="K109" i="3"/>
  <c r="K113" i="3" s="1"/>
  <c r="J109" i="3"/>
  <c r="J113" i="3"/>
  <c r="I109" i="3"/>
  <c r="I113" i="3" s="1"/>
  <c r="I114" i="3" s="1"/>
  <c r="Q102" i="3"/>
  <c r="P102" i="3"/>
  <c r="O102" i="3"/>
  <c r="N102" i="3"/>
  <c r="L102" i="3"/>
  <c r="K102" i="3"/>
  <c r="J102" i="3"/>
  <c r="I102" i="3"/>
  <c r="V101" i="3"/>
  <c r="U101" i="3"/>
  <c r="T101" i="3"/>
  <c r="S100" i="3"/>
  <c r="Q100" i="3"/>
  <c r="P100" i="3"/>
  <c r="O100" i="3"/>
  <c r="N100" i="3"/>
  <c r="L100" i="3"/>
  <c r="K100" i="3"/>
  <c r="J100" i="3"/>
  <c r="I100" i="3"/>
  <c r="S99" i="3"/>
  <c r="Q99" i="3"/>
  <c r="P99" i="3"/>
  <c r="O99" i="3"/>
  <c r="N99" i="3"/>
  <c r="N95" i="3"/>
  <c r="N96" i="3"/>
  <c r="L95" i="3"/>
  <c r="L96" i="3"/>
  <c r="K95" i="3"/>
  <c r="K96" i="3"/>
  <c r="J95" i="3"/>
  <c r="J96" i="3"/>
  <c r="I95" i="3"/>
  <c r="I96" i="3" s="1"/>
  <c r="G95" i="3"/>
  <c r="F95" i="3"/>
  <c r="E95" i="3"/>
  <c r="Q94" i="3"/>
  <c r="P94" i="3"/>
  <c r="O94" i="3"/>
  <c r="R94" i="3" s="1"/>
  <c r="N94" i="3"/>
  <c r="L94" i="3"/>
  <c r="K94" i="3"/>
  <c r="J94" i="3"/>
  <c r="J101" i="3" s="1"/>
  <c r="I94" i="3"/>
  <c r="G94" i="3"/>
  <c r="F94" i="3"/>
  <c r="E94" i="3"/>
  <c r="Q83" i="3"/>
  <c r="P83" i="3"/>
  <c r="O83" i="3"/>
  <c r="N83" i="3"/>
  <c r="N101" i="3" s="1"/>
  <c r="L83" i="3"/>
  <c r="K83" i="3"/>
  <c r="J83" i="3"/>
  <c r="I83" i="3"/>
  <c r="Q76" i="3"/>
  <c r="Q79" i="3" s="1"/>
  <c r="I76" i="3"/>
  <c r="I79" i="3"/>
  <c r="J76" i="3"/>
  <c r="J79" i="3" s="1"/>
  <c r="K76" i="3"/>
  <c r="K79" i="3"/>
  <c r="K80" i="3" s="1"/>
  <c r="L76" i="3"/>
  <c r="L79" i="3" s="1"/>
  <c r="O76" i="3"/>
  <c r="O79" i="3"/>
  <c r="P76" i="3"/>
  <c r="P79" i="3" s="1"/>
  <c r="P80" i="3" s="1"/>
  <c r="N76" i="3"/>
  <c r="N79" i="3"/>
  <c r="N80" i="3" s="1"/>
  <c r="I69" i="3"/>
  <c r="J67" i="3"/>
  <c r="K67" i="3"/>
  <c r="L67" i="3"/>
  <c r="N67" i="3"/>
  <c r="O67" i="3"/>
  <c r="P67" i="3"/>
  <c r="Q67" i="3"/>
  <c r="S67" i="3"/>
  <c r="U68" i="3"/>
  <c r="V68" i="3"/>
  <c r="J69" i="3"/>
  <c r="K69" i="3"/>
  <c r="L69" i="3"/>
  <c r="N69" i="3"/>
  <c r="O69" i="3"/>
  <c r="P69" i="3"/>
  <c r="Q69" i="3"/>
  <c r="I67" i="3"/>
  <c r="S66" i="3"/>
  <c r="O66" i="3"/>
  <c r="P66" i="3"/>
  <c r="Q66" i="3"/>
  <c r="N66" i="3"/>
  <c r="L62" i="3"/>
  <c r="L63" i="3" s="1"/>
  <c r="K62" i="3"/>
  <c r="K63" i="3"/>
  <c r="J62" i="3"/>
  <c r="J63" i="3" s="1"/>
  <c r="I62" i="3"/>
  <c r="I63" i="3"/>
  <c r="N62" i="3"/>
  <c r="N63" i="3" s="1"/>
  <c r="Q61" i="3"/>
  <c r="Q68" i="3" s="1"/>
  <c r="P61" i="3"/>
  <c r="R61" i="3" s="1"/>
  <c r="O61" i="3"/>
  <c r="N61" i="3"/>
  <c r="L61" i="3"/>
  <c r="K61" i="3"/>
  <c r="J61" i="3"/>
  <c r="I61" i="3"/>
  <c r="L58" i="3"/>
  <c r="Q50" i="3"/>
  <c r="P50" i="3"/>
  <c r="O50" i="3"/>
  <c r="N50" i="3"/>
  <c r="N68" i="3" s="1"/>
  <c r="L50" i="3"/>
  <c r="K50" i="3"/>
  <c r="J50" i="3"/>
  <c r="I50" i="3"/>
  <c r="M50" i="3" s="1"/>
  <c r="S144" i="3"/>
  <c r="W117" i="3"/>
  <c r="N77" i="3"/>
  <c r="N78" i="3" s="1"/>
  <c r="S185" i="3"/>
  <c r="U182" i="3"/>
  <c r="I185" i="3"/>
  <c r="Q213" i="3"/>
  <c r="N213" i="3"/>
  <c r="O27" i="3"/>
  <c r="R27" i="3" s="1"/>
  <c r="R28" i="3" s="1"/>
  <c r="K92" i="3"/>
  <c r="N92" i="3"/>
  <c r="I126" i="3"/>
  <c r="L92" i="3"/>
  <c r="J92" i="3"/>
  <c r="AB44" i="3"/>
  <c r="N177" i="3"/>
  <c r="J177" i="3"/>
  <c r="Q177" i="3"/>
  <c r="I177" i="3"/>
  <c r="P177" i="3"/>
  <c r="L177" i="3"/>
  <c r="Q92" i="3"/>
  <c r="Q159" i="3"/>
  <c r="Q160" i="3"/>
  <c r="L159" i="3"/>
  <c r="L160" i="3"/>
  <c r="P159" i="3"/>
  <c r="P160" i="3"/>
  <c r="K159" i="3"/>
  <c r="K160" i="3" s="1"/>
  <c r="N159" i="3"/>
  <c r="I159" i="3"/>
  <c r="I111" i="3"/>
  <c r="I112" i="3" s="1"/>
  <c r="S111" i="3"/>
  <c r="S112" i="3"/>
  <c r="Q144" i="3"/>
  <c r="Q145" i="3" s="1"/>
  <c r="Q111" i="3"/>
  <c r="Q112" i="3"/>
  <c r="P144" i="3"/>
  <c r="P145" i="3" s="1"/>
  <c r="O101" i="3"/>
  <c r="I80" i="3"/>
  <c r="S145" i="3"/>
  <c r="N144" i="3"/>
  <c r="Q80" i="3"/>
  <c r="O92" i="3"/>
  <c r="L80" i="3"/>
  <c r="P92" i="3"/>
  <c r="N147" i="3"/>
  <c r="J126" i="3"/>
  <c r="I147" i="3"/>
  <c r="L144" i="3"/>
  <c r="L145" i="3" s="1"/>
  <c r="K144" i="3"/>
  <c r="K145" i="3" s="1"/>
  <c r="I144" i="3"/>
  <c r="P111" i="3"/>
  <c r="L111" i="3"/>
  <c r="L183" i="3" s="1"/>
  <c r="J111" i="3"/>
  <c r="Q135" i="3"/>
  <c r="O126" i="3"/>
  <c r="P126" i="3"/>
  <c r="N135" i="3"/>
  <c r="I135" i="3"/>
  <c r="S135" i="3"/>
  <c r="J135" i="3"/>
  <c r="R128" i="3"/>
  <c r="T134" i="3"/>
  <c r="L135" i="3"/>
  <c r="P135" i="3"/>
  <c r="Q77" i="3"/>
  <c r="Q78" i="3"/>
  <c r="P101" i="3"/>
  <c r="P77" i="3"/>
  <c r="P78" i="3"/>
  <c r="O77" i="3"/>
  <c r="L114" i="3"/>
  <c r="Q114" i="3"/>
  <c r="J114" i="3"/>
  <c r="K101" i="3"/>
  <c r="Q101" i="3"/>
  <c r="M94" i="3"/>
  <c r="S101" i="3"/>
  <c r="T100" i="3"/>
  <c r="L101" i="3"/>
  <c r="L77" i="3"/>
  <c r="L78" i="3"/>
  <c r="K77" i="3"/>
  <c r="S77" i="3"/>
  <c r="J68" i="3"/>
  <c r="O68" i="3"/>
  <c r="I77" i="3"/>
  <c r="I78" i="3" s="1"/>
  <c r="L68" i="3"/>
  <c r="K68" i="3"/>
  <c r="P68" i="3"/>
  <c r="S68" i="3"/>
  <c r="M61" i="3"/>
  <c r="I59" i="3"/>
  <c r="P59" i="3"/>
  <c r="K59" i="3"/>
  <c r="U67" i="3"/>
  <c r="O59" i="3"/>
  <c r="J59" i="3"/>
  <c r="N59" i="3"/>
  <c r="S59" i="3"/>
  <c r="Q59" i="3"/>
  <c r="P188" i="3"/>
  <c r="O188" i="3"/>
  <c r="J188" i="3"/>
  <c r="I160" i="3"/>
  <c r="N160" i="3"/>
  <c r="N145" i="3"/>
  <c r="X68" i="3"/>
  <c r="V182" i="3"/>
  <c r="P213" i="3"/>
  <c r="D28" i="3"/>
  <c r="D186" i="3"/>
  <c r="R18" i="3"/>
  <c r="T180" i="3"/>
  <c r="Q28" i="3"/>
  <c r="N28" i="3"/>
  <c r="I28" i="3"/>
  <c r="I38" i="3" s="1"/>
  <c r="I183" i="3"/>
  <c r="S78" i="3"/>
  <c r="U134" i="3"/>
  <c r="M68" i="3"/>
  <c r="S92" i="3"/>
  <c r="U100" i="3"/>
  <c r="T181" i="3"/>
  <c r="Y68" i="3"/>
  <c r="X182" i="3"/>
  <c r="I188" i="3"/>
  <c r="N38" i="3"/>
  <c r="N43" i="3" s="1"/>
  <c r="N187" i="3"/>
  <c r="D188" i="3"/>
  <c r="N188" i="3"/>
  <c r="L188" i="3"/>
  <c r="P38" i="3"/>
  <c r="P43" i="3"/>
  <c r="P187" i="3"/>
  <c r="Q38" i="3"/>
  <c r="Q43" i="3" s="1"/>
  <c r="Q187" i="3"/>
  <c r="D38" i="3"/>
  <c r="D43" i="3" s="1"/>
  <c r="D187" i="3"/>
  <c r="I43" i="3"/>
  <c r="I187" i="3"/>
  <c r="Q188" i="3"/>
  <c r="E41" i="3"/>
  <c r="E188" i="3"/>
  <c r="R188" i="3"/>
  <c r="L42" i="3"/>
  <c r="J42" i="3"/>
  <c r="O36" i="3"/>
  <c r="P36" i="3"/>
  <c r="P42" i="3" s="1"/>
  <c r="U92" i="3"/>
  <c r="V100" i="3"/>
  <c r="V67" i="3"/>
  <c r="Z68" i="3"/>
  <c r="Q36" i="3"/>
  <c r="Q41" i="3"/>
  <c r="I41" i="3"/>
  <c r="I42" i="3"/>
  <c r="L41" i="3"/>
  <c r="E42" i="3"/>
  <c r="Y182" i="3"/>
  <c r="J41" i="3"/>
  <c r="N36" i="3"/>
  <c r="R36" i="3"/>
  <c r="R42" i="3"/>
  <c r="P41" i="3"/>
  <c r="D41" i="3"/>
  <c r="D42" i="3"/>
  <c r="T92" i="3"/>
  <c r="T126" i="3"/>
  <c r="U91" i="3"/>
  <c r="V92" i="3"/>
  <c r="V91" i="3"/>
  <c r="W149" i="3"/>
  <c r="AB61" i="3"/>
  <c r="Q42" i="3"/>
  <c r="Z182" i="3"/>
  <c r="N41" i="3"/>
  <c r="X92" i="3"/>
  <c r="N18" i="3"/>
  <c r="O18" i="3"/>
  <c r="P18" i="3"/>
  <c r="Q18" i="3"/>
  <c r="H18" i="3"/>
  <c r="I18" i="3"/>
  <c r="J18" i="3"/>
  <c r="K18" i="3"/>
  <c r="L18" i="3"/>
  <c r="G18" i="3"/>
  <c r="D18" i="3"/>
  <c r="E18" i="3"/>
  <c r="F18" i="3"/>
  <c r="N194" i="3"/>
  <c r="I194" i="3"/>
  <c r="I191" i="3" s="1"/>
  <c r="K194" i="3"/>
  <c r="L194" i="3"/>
  <c r="L191" i="3" s="1"/>
  <c r="W193" i="3"/>
  <c r="O185" i="3"/>
  <c r="N185" i="3"/>
  <c r="L185" i="3"/>
  <c r="K185" i="3"/>
  <c r="P185" i="3"/>
  <c r="J185" i="3"/>
  <c r="Q185" i="3"/>
  <c r="N190" i="3"/>
  <c r="R194" i="3"/>
  <c r="K191" i="3"/>
  <c r="K190" i="3"/>
  <c r="L190" i="3"/>
  <c r="W194" i="3"/>
  <c r="O186" i="3"/>
  <c r="E186" i="3"/>
  <c r="M193" i="3"/>
  <c r="J194" i="3"/>
  <c r="P186" i="3"/>
  <c r="N191" i="3"/>
  <c r="I186" i="3"/>
  <c r="K186" i="3"/>
  <c r="Q186" i="3"/>
  <c r="L186" i="3"/>
  <c r="J186" i="3"/>
  <c r="AB193" i="3"/>
  <c r="R186" i="3"/>
  <c r="T176" i="3"/>
  <c r="T177" i="3" s="1"/>
  <c r="T111" i="3"/>
  <c r="T144" i="3"/>
  <c r="T145" i="3" s="1"/>
  <c r="S18" i="3"/>
  <c r="T112" i="3"/>
  <c r="S186" i="3"/>
  <c r="T185" i="3"/>
  <c r="U176" i="3"/>
  <c r="T159" i="3"/>
  <c r="T18" i="3"/>
  <c r="T187" i="3"/>
  <c r="T186" i="3"/>
  <c r="T160" i="3"/>
  <c r="T42" i="3"/>
  <c r="T41" i="3"/>
  <c r="Z21" i="3"/>
  <c r="AA21" i="3"/>
  <c r="AB30" i="3"/>
  <c r="T179" i="3"/>
  <c r="T59" i="3"/>
  <c r="T77" i="3"/>
  <c r="T78" i="3"/>
  <c r="V176" i="3"/>
  <c r="X176" i="3"/>
  <c r="Y176" i="3"/>
  <c r="Z176" i="3"/>
  <c r="AA176" i="3"/>
  <c r="Y92" i="3"/>
  <c r="AA88" i="3"/>
  <c r="AA85" i="3"/>
  <c r="AA90" i="3" s="1"/>
  <c r="AA52" i="3"/>
  <c r="Y52" i="3"/>
  <c r="X52" i="3"/>
  <c r="U57" i="3"/>
  <c r="U59" i="3" s="1"/>
  <c r="AA92" i="3"/>
  <c r="Z52" i="3"/>
  <c r="U58" i="3"/>
  <c r="T183" i="3" l="1"/>
  <c r="I190" i="3"/>
  <c r="O78" i="3"/>
  <c r="R77" i="3"/>
  <c r="I145" i="3"/>
  <c r="J147" i="3"/>
  <c r="R41" i="3"/>
  <c r="O28" i="3"/>
  <c r="J112" i="3"/>
  <c r="O42" i="3"/>
  <c r="O41" i="3"/>
  <c r="R38" i="3"/>
  <c r="R43" i="3" s="1"/>
  <c r="R187" i="3"/>
  <c r="M194" i="3"/>
  <c r="J190" i="3"/>
  <c r="J191" i="3"/>
  <c r="N42" i="3"/>
  <c r="R39" i="3"/>
  <c r="K111" i="3"/>
  <c r="K112" i="3" s="1"/>
  <c r="M102" i="3"/>
  <c r="K114" i="3"/>
  <c r="N113" i="3"/>
  <c r="N114" i="3" s="1"/>
  <c r="N111" i="3"/>
  <c r="J161" i="3"/>
  <c r="J162" i="3" s="1"/>
  <c r="J159" i="3"/>
  <c r="S160" i="3"/>
  <c r="S183" i="3"/>
  <c r="O144" i="3"/>
  <c r="R136" i="3"/>
  <c r="M136" i="3"/>
  <c r="J144" i="3"/>
  <c r="J145" i="3" s="1"/>
  <c r="E28" i="3"/>
  <c r="Q183" i="3"/>
  <c r="M77" i="3"/>
  <c r="M78" i="3" s="1"/>
  <c r="R83" i="3"/>
  <c r="R101" i="3" s="1"/>
  <c r="M128" i="3"/>
  <c r="M135" i="3" s="1"/>
  <c r="L112" i="3"/>
  <c r="O80" i="3"/>
  <c r="O161" i="3"/>
  <c r="O162" i="3" s="1"/>
  <c r="O159" i="3"/>
  <c r="J213" i="3"/>
  <c r="J27" i="3"/>
  <c r="AA110" i="3"/>
  <c r="Z194" i="3"/>
  <c r="AA192" i="3"/>
  <c r="AA194" i="3" s="1"/>
  <c r="T190" i="3"/>
  <c r="T191" i="3"/>
  <c r="M69" i="3"/>
  <c r="J77" i="3"/>
  <c r="R80" i="3"/>
  <c r="J80" i="3"/>
  <c r="M83" i="3"/>
  <c r="M101" i="3" s="1"/>
  <c r="I101" i="3"/>
  <c r="K213" i="3"/>
  <c r="K27" i="3"/>
  <c r="K28" i="3" s="1"/>
  <c r="L27" i="3"/>
  <c r="L28" i="3" s="1"/>
  <c r="L213" i="3"/>
  <c r="G27" i="3"/>
  <c r="H27" i="3" s="1"/>
  <c r="G213" i="3"/>
  <c r="S213" i="3"/>
  <c r="S27" i="3"/>
  <c r="Z117" i="3"/>
  <c r="Z135" i="3" s="1"/>
  <c r="X135" i="3"/>
  <c r="Y117" i="3"/>
  <c r="O190" i="3"/>
  <c r="O191" i="3"/>
  <c r="K34" i="3"/>
  <c r="K36" i="3" s="1"/>
  <c r="K188" i="3"/>
  <c r="K78" i="3"/>
  <c r="K183" i="3"/>
  <c r="P112" i="3"/>
  <c r="P183" i="3"/>
  <c r="R69" i="3"/>
  <c r="R102" i="3"/>
  <c r="O111" i="3"/>
  <c r="O112" i="3" s="1"/>
  <c r="O114" i="3"/>
  <c r="X114" i="3" s="1"/>
  <c r="R117" i="3"/>
  <c r="R135" i="3" s="1"/>
  <c r="O135" i="3"/>
  <c r="W83" i="3"/>
  <c r="X83" i="3"/>
  <c r="U153" i="3"/>
  <c r="U156" i="3"/>
  <c r="U151" i="3"/>
  <c r="U155" i="3"/>
  <c r="Z149" i="3"/>
  <c r="U152" i="3"/>
  <c r="U168" i="3"/>
  <c r="V169" i="3"/>
  <c r="S188" i="3"/>
  <c r="S34" i="3"/>
  <c r="S36" i="3" s="1"/>
  <c r="R50" i="3"/>
  <c r="R68" i="3" s="1"/>
  <c r="I68" i="3"/>
  <c r="F213" i="3"/>
  <c r="T38" i="3"/>
  <c r="T43" i="3" s="1"/>
  <c r="AA50" i="3"/>
  <c r="AA51" i="3"/>
  <c r="X49" i="3"/>
  <c r="Y49" i="3" s="1"/>
  <c r="Z49" i="3" s="1"/>
  <c r="AA49" i="3" s="1"/>
  <c r="Z90" i="3"/>
  <c r="V40" i="3"/>
  <c r="X40" i="3" s="1"/>
  <c r="Y40" i="3" s="1"/>
  <c r="Z40" i="3" s="1"/>
  <c r="AA40" i="3" s="1"/>
  <c r="X188" i="3"/>
  <c r="Y188" i="3" s="1"/>
  <c r="Z188" i="3" s="1"/>
  <c r="AA188" i="3" s="1"/>
  <c r="Y94" i="3"/>
  <c r="Z94" i="3"/>
  <c r="U64" i="3"/>
  <c r="Z119" i="3"/>
  <c r="V57" i="3"/>
  <c r="X56" i="3"/>
  <c r="Y56" i="3" s="1"/>
  <c r="Z56" i="3" s="1"/>
  <c r="H24" i="3"/>
  <c r="H26" i="3" s="1"/>
  <c r="AA127" i="3"/>
  <c r="W101" i="3"/>
  <c r="Z35" i="3"/>
  <c r="AA35" i="3" s="1"/>
  <c r="X119" i="3"/>
  <c r="X57" i="3"/>
  <c r="P190" i="3"/>
  <c r="V116" i="3"/>
  <c r="X60" i="3"/>
  <c r="Y119" i="3"/>
  <c r="V39" i="3"/>
  <c r="X39" i="3" s="1"/>
  <c r="Y39" i="3" s="1"/>
  <c r="Z39" i="3" s="1"/>
  <c r="AA39" i="3" s="1"/>
  <c r="V95" i="3"/>
  <c r="V97" i="3" s="1"/>
  <c r="X93" i="3"/>
  <c r="U167" i="3"/>
  <c r="S123" i="3"/>
  <c r="Y131" i="3"/>
  <c r="U132" i="3"/>
  <c r="V133" i="3"/>
  <c r="U131" i="3"/>
  <c r="U97" i="3"/>
  <c r="U102" i="3" s="1"/>
  <c r="M16" i="3"/>
  <c r="G24" i="3"/>
  <c r="G26" i="3" s="1"/>
  <c r="F26" i="3"/>
  <c r="V102" i="3"/>
  <c r="W68" i="3"/>
  <c r="H32" i="3" l="1"/>
  <c r="H186" i="3"/>
  <c r="H28" i="3"/>
  <c r="O187" i="3"/>
  <c r="O38" i="3"/>
  <c r="O43" i="3" s="1"/>
  <c r="W102" i="3"/>
  <c r="U108" i="3"/>
  <c r="V108" i="3" s="1"/>
  <c r="U104" i="3"/>
  <c r="V104" i="3" s="1"/>
  <c r="U105" i="3"/>
  <c r="V105" i="3" s="1"/>
  <c r="U107" i="3"/>
  <c r="U103" i="3"/>
  <c r="U109" i="3" s="1"/>
  <c r="U113" i="3" s="1"/>
  <c r="V107" i="3" s="1"/>
  <c r="U123" i="3"/>
  <c r="S126" i="3"/>
  <c r="X116" i="3"/>
  <c r="AA118" i="3"/>
  <c r="V134" i="3"/>
  <c r="X58" i="3"/>
  <c r="X59" i="3"/>
  <c r="AB35" i="3"/>
  <c r="AA129" i="3"/>
  <c r="AA131" i="3" s="1"/>
  <c r="S42" i="3"/>
  <c r="S41" i="3"/>
  <c r="X82" i="3"/>
  <c r="Y83" i="3"/>
  <c r="Y101" i="3" s="1"/>
  <c r="X101" i="3"/>
  <c r="Y135" i="3"/>
  <c r="S28" i="3"/>
  <c r="J78" i="3"/>
  <c r="J183" i="3"/>
  <c r="R111" i="3"/>
  <c r="R112" i="3" s="1"/>
  <c r="N183" i="3"/>
  <c r="N112" i="3"/>
  <c r="Y57" i="3"/>
  <c r="M26" i="3"/>
  <c r="M18" i="3"/>
  <c r="R185" i="3"/>
  <c r="M185" i="3"/>
  <c r="V59" i="3"/>
  <c r="V58" i="3"/>
  <c r="V69" i="3"/>
  <c r="AB149" i="3"/>
  <c r="F32" i="3"/>
  <c r="F28" i="3"/>
  <c r="F186" i="3"/>
  <c r="V167" i="3"/>
  <c r="U166" i="3"/>
  <c r="U14" i="3" s="1"/>
  <c r="U69" i="3"/>
  <c r="U157" i="3"/>
  <c r="K41" i="3"/>
  <c r="K42" i="3"/>
  <c r="L38" i="3"/>
  <c r="L43" i="3" s="1"/>
  <c r="L187" i="3"/>
  <c r="AB194" i="3"/>
  <c r="O160" i="3"/>
  <c r="R159" i="3"/>
  <c r="R160" i="3" s="1"/>
  <c r="E38" i="3"/>
  <c r="E43" i="3" s="1"/>
  <c r="E187" i="3"/>
  <c r="M111" i="3"/>
  <c r="M112" i="3" s="1"/>
  <c r="R78" i="3"/>
  <c r="V132" i="3"/>
  <c r="X133" i="3"/>
  <c r="Y60" i="3"/>
  <c r="X62" i="3"/>
  <c r="X64" i="3" s="1"/>
  <c r="X67" i="3"/>
  <c r="Z92" i="3"/>
  <c r="M27" i="3"/>
  <c r="J28" i="3"/>
  <c r="W57" i="3"/>
  <c r="M144" i="3"/>
  <c r="M145" i="3" s="1"/>
  <c r="G32" i="3"/>
  <c r="G186" i="3"/>
  <c r="G28" i="3"/>
  <c r="U15" i="3"/>
  <c r="Y93" i="3"/>
  <c r="X95" i="3"/>
  <c r="X97" i="3" s="1"/>
  <c r="X102" i="3" s="1"/>
  <c r="X100" i="3"/>
  <c r="AA56" i="3"/>
  <c r="AA57" i="3" s="1"/>
  <c r="Z57" i="3"/>
  <c r="AA94" i="3"/>
  <c r="AB94" i="3" s="1"/>
  <c r="AB50" i="3"/>
  <c r="AB68" i="3" s="1"/>
  <c r="AA68" i="3"/>
  <c r="V168" i="3"/>
  <c r="X169" i="3"/>
  <c r="AA117" i="3"/>
  <c r="AA135" i="3" s="1"/>
  <c r="K38" i="3"/>
  <c r="K43" i="3" s="1"/>
  <c r="K187" i="3"/>
  <c r="AA25" i="3"/>
  <c r="AB25" i="3" s="1"/>
  <c r="R144" i="3"/>
  <c r="R145" i="3" s="1"/>
  <c r="O145" i="3"/>
  <c r="J160" i="3"/>
  <c r="M159" i="3"/>
  <c r="M160" i="3" s="1"/>
  <c r="O183" i="3"/>
  <c r="U180" i="3" l="1"/>
  <c r="AA58" i="3"/>
  <c r="AA59" i="3"/>
  <c r="X168" i="3"/>
  <c r="Y169" i="3"/>
  <c r="Z60" i="3"/>
  <c r="Y62" i="3"/>
  <c r="Y64" i="3" s="1"/>
  <c r="Y67" i="3"/>
  <c r="Y95" i="3"/>
  <c r="Y97" i="3" s="1"/>
  <c r="Y102" i="3" s="1"/>
  <c r="Y100" i="3"/>
  <c r="Z93" i="3"/>
  <c r="G34" i="3"/>
  <c r="G36" i="3" s="1"/>
  <c r="G188" i="3"/>
  <c r="X132" i="3"/>
  <c r="Y133" i="3"/>
  <c r="U74" i="3"/>
  <c r="U71" i="3"/>
  <c r="U72" i="3"/>
  <c r="W69" i="3"/>
  <c r="U75" i="3"/>
  <c r="U70" i="3"/>
  <c r="M32" i="3"/>
  <c r="M28" i="3"/>
  <c r="M186" i="3"/>
  <c r="S38" i="3"/>
  <c r="S43" i="3" s="1"/>
  <c r="S187" i="3"/>
  <c r="Z83" i="3"/>
  <c r="Z101" i="3" s="1"/>
  <c r="Y82" i="3"/>
  <c r="X91" i="3"/>
  <c r="V166" i="3"/>
  <c r="X167" i="3"/>
  <c r="V123" i="3"/>
  <c r="U124" i="3"/>
  <c r="H38" i="3"/>
  <c r="H187" i="3"/>
  <c r="Z59" i="3"/>
  <c r="Z58" i="3"/>
  <c r="V15" i="3"/>
  <c r="V181" i="3" s="1"/>
  <c r="U161" i="3"/>
  <c r="U159" i="3"/>
  <c r="F187" i="3"/>
  <c r="F38" i="3"/>
  <c r="F43" i="3" s="1"/>
  <c r="Y58" i="3"/>
  <c r="Y59" i="3"/>
  <c r="AB57" i="3"/>
  <c r="Y116" i="3"/>
  <c r="X134" i="3"/>
  <c r="U181" i="3"/>
  <c r="H34" i="3"/>
  <c r="H36" i="3" s="1"/>
  <c r="H188" i="3"/>
  <c r="J187" i="3"/>
  <c r="J38" i="3"/>
  <c r="J43" i="3" s="1"/>
  <c r="AA182" i="3"/>
  <c r="G187" i="3"/>
  <c r="G38" i="3"/>
  <c r="G43" i="3" s="1"/>
  <c r="X69" i="3"/>
  <c r="U177" i="3"/>
  <c r="F188" i="3"/>
  <c r="F34" i="3"/>
  <c r="F36" i="3" s="1"/>
  <c r="AB117" i="3"/>
  <c r="AB135" i="3" s="1"/>
  <c r="AA83" i="3"/>
  <c r="AA101" i="3" s="1"/>
  <c r="U111" i="3"/>
  <c r="V103" i="3"/>
  <c r="V109" i="3" s="1"/>
  <c r="U160" i="3" l="1"/>
  <c r="AA93" i="3"/>
  <c r="Z100" i="3"/>
  <c r="Z95" i="3"/>
  <c r="Z97" i="3" s="1"/>
  <c r="Z102" i="3" s="1"/>
  <c r="V156" i="3"/>
  <c r="V152" i="3"/>
  <c r="V151" i="3"/>
  <c r="V155" i="3"/>
  <c r="V153" i="3"/>
  <c r="U125" i="3"/>
  <c r="U126" i="3"/>
  <c r="U13" i="3"/>
  <c r="U136" i="3"/>
  <c r="U76" i="3"/>
  <c r="X15" i="3"/>
  <c r="Y69" i="3"/>
  <c r="V113" i="3"/>
  <c r="V111" i="3"/>
  <c r="V112" i="3" s="1"/>
  <c r="Z116" i="3"/>
  <c r="Y134" i="3"/>
  <c r="M34" i="3"/>
  <c r="M36" i="3" s="1"/>
  <c r="M188" i="3"/>
  <c r="H41" i="3"/>
  <c r="H39" i="3"/>
  <c r="H40" i="3"/>
  <c r="H43" i="3" s="1"/>
  <c r="F42" i="3"/>
  <c r="F41" i="3"/>
  <c r="W15" i="3"/>
  <c r="X123" i="3"/>
  <c r="V124" i="3"/>
  <c r="Z82" i="3"/>
  <c r="Y91" i="3"/>
  <c r="AA60" i="3"/>
  <c r="Z62" i="3"/>
  <c r="Z64" i="3" s="1"/>
  <c r="Z67" i="3"/>
  <c r="V177" i="3"/>
  <c r="V180" i="3"/>
  <c r="V14" i="3"/>
  <c r="W14" i="3" s="1"/>
  <c r="Y132" i="3"/>
  <c r="Z133" i="3"/>
  <c r="U112" i="3"/>
  <c r="W111" i="3"/>
  <c r="W112" i="3" s="1"/>
  <c r="X166" i="3"/>
  <c r="Y167" i="3"/>
  <c r="X103" i="3"/>
  <c r="M38" i="3"/>
  <c r="M187" i="3"/>
  <c r="G42" i="3"/>
  <c r="G41" i="3"/>
  <c r="AB83" i="3"/>
  <c r="AB101" i="3" s="1"/>
  <c r="Y168" i="3"/>
  <c r="Z169" i="3"/>
  <c r="AA169" i="3" l="1"/>
  <c r="AA168" i="3" s="1"/>
  <c r="Z168" i="3"/>
  <c r="AA133" i="3"/>
  <c r="AA132" i="3" s="1"/>
  <c r="Z132" i="3"/>
  <c r="AA62" i="3"/>
  <c r="AA64" i="3" s="1"/>
  <c r="AA67" i="3"/>
  <c r="Y123" i="3"/>
  <c r="X124" i="3"/>
  <c r="AA116" i="3"/>
  <c r="AA134" i="3" s="1"/>
  <c r="Z134" i="3"/>
  <c r="U141" i="3"/>
  <c r="U22" i="3" s="1"/>
  <c r="U137" i="3"/>
  <c r="U142" i="3"/>
  <c r="U23" i="3" s="1"/>
  <c r="U138" i="3"/>
  <c r="U19" i="3" s="1"/>
  <c r="U139" i="3"/>
  <c r="U20" i="3" s="1"/>
  <c r="AA95" i="3"/>
  <c r="AA97" i="3" s="1"/>
  <c r="AA102" i="3" s="1"/>
  <c r="V126" i="3"/>
  <c r="V125" i="3"/>
  <c r="V13" i="3"/>
  <c r="V16" i="3" s="1"/>
  <c r="V136" i="3"/>
  <c r="W136" i="3" s="1"/>
  <c r="V157" i="3"/>
  <c r="Z167" i="3"/>
  <c r="Y166" i="3"/>
  <c r="Y15" i="3"/>
  <c r="Y181" i="3"/>
  <c r="M41" i="3"/>
  <c r="M39" i="3"/>
  <c r="M40" i="3"/>
  <c r="M42" i="3" s="1"/>
  <c r="U16" i="3"/>
  <c r="W13" i="3"/>
  <c r="W16" i="3" s="1"/>
  <c r="Z69" i="3"/>
  <c r="U79" i="3"/>
  <c r="U77" i="3"/>
  <c r="X177" i="3"/>
  <c r="X14" i="3"/>
  <c r="AA82" i="3"/>
  <c r="AA91" i="3" s="1"/>
  <c r="Z91" i="3"/>
  <c r="H42" i="3"/>
  <c r="X107" i="3"/>
  <c r="X105" i="3"/>
  <c r="X108" i="3"/>
  <c r="X104" i="3"/>
  <c r="X181" i="3"/>
  <c r="U179" i="3"/>
  <c r="AB102" i="3"/>
  <c r="X109" i="3" l="1"/>
  <c r="X113" i="3" s="1"/>
  <c r="U78" i="3"/>
  <c r="W185" i="3"/>
  <c r="AA167" i="3"/>
  <c r="AA166" i="3" s="1"/>
  <c r="AA177" i="3" s="1"/>
  <c r="Z166" i="3"/>
  <c r="V185" i="3"/>
  <c r="AA100" i="3"/>
  <c r="U143" i="3"/>
  <c r="U17" i="3"/>
  <c r="Y177" i="3"/>
  <c r="Y180" i="3"/>
  <c r="Y14" i="3"/>
  <c r="AA15" i="3"/>
  <c r="AA181" i="3" s="1"/>
  <c r="V74" i="3"/>
  <c r="V72" i="3"/>
  <c r="V70" i="3"/>
  <c r="V75" i="3"/>
  <c r="V71" i="3"/>
  <c r="M43" i="3"/>
  <c r="U185" i="3"/>
  <c r="V179" i="3"/>
  <c r="X126" i="3"/>
  <c r="X125" i="3"/>
  <c r="X13" i="3"/>
  <c r="X179" i="3"/>
  <c r="X136" i="3"/>
  <c r="AA14" i="3"/>
  <c r="AA180" i="3"/>
  <c r="AA69" i="3"/>
  <c r="AB69" i="3" s="1"/>
  <c r="U196" i="3"/>
  <c r="U208" i="3" s="1"/>
  <c r="U210" i="3" s="1"/>
  <c r="X180" i="3"/>
  <c r="V161" i="3"/>
  <c r="V159" i="3"/>
  <c r="Z123" i="3"/>
  <c r="Y124" i="3"/>
  <c r="Z15" i="3"/>
  <c r="AB15" i="3" s="1"/>
  <c r="X111" i="3" l="1"/>
  <c r="Y103" i="3"/>
  <c r="Y107" i="3"/>
  <c r="Y108" i="3"/>
  <c r="Y104" i="3"/>
  <c r="Y105" i="3"/>
  <c r="X16" i="3"/>
  <c r="Z177" i="3"/>
  <c r="Z14" i="3"/>
  <c r="AB14" i="3" s="1"/>
  <c r="X112" i="3"/>
  <c r="X152" i="3"/>
  <c r="X156" i="3"/>
  <c r="X153" i="3"/>
  <c r="X151" i="3"/>
  <c r="X155" i="3"/>
  <c r="AA123" i="3"/>
  <c r="AA124" i="3" s="1"/>
  <c r="Z124" i="3"/>
  <c r="U24" i="3"/>
  <c r="U26" i="3" s="1"/>
  <c r="Y126" i="3"/>
  <c r="Y125" i="3"/>
  <c r="Y13" i="3"/>
  <c r="Y16" i="3" s="1"/>
  <c r="Y179" i="3"/>
  <c r="Y136" i="3"/>
  <c r="Z181" i="3"/>
  <c r="V160" i="3"/>
  <c r="W159" i="3"/>
  <c r="W160" i="3" s="1"/>
  <c r="U27" i="3"/>
  <c r="U212" i="3"/>
  <c r="U37" i="3" s="1"/>
  <c r="U18" i="3"/>
  <c r="V76" i="3"/>
  <c r="U146" i="3"/>
  <c r="U144" i="3"/>
  <c r="Y109" i="3" l="1"/>
  <c r="U145" i="3"/>
  <c r="U183" i="3"/>
  <c r="U32" i="3"/>
  <c r="U186" i="3"/>
  <c r="U28" i="3"/>
  <c r="Z126" i="3"/>
  <c r="Z125" i="3"/>
  <c r="Z13" i="3"/>
  <c r="Z16" i="3" s="1"/>
  <c r="Z179" i="3"/>
  <c r="Z136" i="3"/>
  <c r="X157" i="3"/>
  <c r="V137" i="3"/>
  <c r="V139" i="3"/>
  <c r="V138" i="3"/>
  <c r="V142" i="3"/>
  <c r="V141" i="3"/>
  <c r="V79" i="3"/>
  <c r="V77" i="3"/>
  <c r="AA125" i="3"/>
  <c r="AA126" i="3"/>
  <c r="AA13" i="3"/>
  <c r="AA16" i="3" s="1"/>
  <c r="AA136" i="3"/>
  <c r="Y185" i="3"/>
  <c r="Y113" i="3"/>
  <c r="Y111" i="3"/>
  <c r="Z180" i="3"/>
  <c r="X185" i="3"/>
  <c r="V78" i="3" l="1"/>
  <c r="W77" i="3"/>
  <c r="W78" i="3" s="1"/>
  <c r="AB136" i="3"/>
  <c r="Z108" i="3"/>
  <c r="Z107" i="3"/>
  <c r="Z104" i="3"/>
  <c r="Z105" i="3"/>
  <c r="Z103" i="3"/>
  <c r="V23" i="3"/>
  <c r="U33" i="3"/>
  <c r="AA185" i="3"/>
  <c r="AB13" i="3"/>
  <c r="AB16" i="3" s="1"/>
  <c r="AA179" i="3"/>
  <c r="X74" i="3"/>
  <c r="X75" i="3"/>
  <c r="X72" i="3"/>
  <c r="X71" i="3"/>
  <c r="X70" i="3"/>
  <c r="V20" i="3"/>
  <c r="W20" i="3" s="1"/>
  <c r="U187" i="3"/>
  <c r="V19" i="3"/>
  <c r="W19" i="3" s="1"/>
  <c r="Y112" i="3"/>
  <c r="V22" i="3"/>
  <c r="W22" i="3" s="1"/>
  <c r="V143" i="3"/>
  <c r="V17" i="3"/>
  <c r="X161" i="3"/>
  <c r="X159" i="3"/>
  <c r="Z185" i="3"/>
  <c r="V24" i="3" l="1"/>
  <c r="V26" i="3" s="1"/>
  <c r="V18" i="3"/>
  <c r="W17" i="3"/>
  <c r="X76" i="3"/>
  <c r="X160" i="3"/>
  <c r="V146" i="3"/>
  <c r="V144" i="3"/>
  <c r="U38" i="3"/>
  <c r="U43" i="3" s="1"/>
  <c r="V196" i="3"/>
  <c r="V208" i="3" s="1"/>
  <c r="V210" i="3" s="1"/>
  <c r="W23" i="3"/>
  <c r="Y156" i="3"/>
  <c r="Y153" i="3"/>
  <c r="Y151" i="3"/>
  <c r="Y155" i="3"/>
  <c r="Y152" i="3"/>
  <c r="AB185" i="3"/>
  <c r="U34" i="3"/>
  <c r="U36" i="3" s="1"/>
  <c r="Z109" i="3"/>
  <c r="X139" i="3" l="1"/>
  <c r="X141" i="3"/>
  <c r="X138" i="3"/>
  <c r="X142" i="3"/>
  <c r="X137" i="3"/>
  <c r="W24" i="3"/>
  <c r="W26" i="3" s="1"/>
  <c r="W18" i="3"/>
  <c r="V145" i="3"/>
  <c r="W144" i="3"/>
  <c r="W145" i="3" s="1"/>
  <c r="V183" i="3"/>
  <c r="U41" i="3"/>
  <c r="U42" i="3"/>
  <c r="Y157" i="3"/>
  <c r="V27" i="3"/>
  <c r="W27" i="3" s="1"/>
  <c r="V212" i="3"/>
  <c r="V37" i="3" s="1"/>
  <c r="W37" i="3" s="1"/>
  <c r="Z113" i="3"/>
  <c r="Z111" i="3"/>
  <c r="X79" i="3"/>
  <c r="X77" i="3"/>
  <c r="V32" i="3"/>
  <c r="V28" i="3"/>
  <c r="V186" i="3"/>
  <c r="AA108" i="3" l="1"/>
  <c r="AA105" i="3"/>
  <c r="AA104" i="3"/>
  <c r="AA107" i="3"/>
  <c r="AA103" i="3"/>
  <c r="X22" i="3"/>
  <c r="Y74" i="3"/>
  <c r="Y75" i="3"/>
  <c r="Y72" i="3"/>
  <c r="Y71" i="3"/>
  <c r="Y70" i="3"/>
  <c r="W32" i="3"/>
  <c r="W186" i="3"/>
  <c r="W28" i="3"/>
  <c r="V187" i="3"/>
  <c r="X143" i="3"/>
  <c r="X17" i="3"/>
  <c r="X20" i="3"/>
  <c r="X78" i="3"/>
  <c r="Y161" i="3"/>
  <c r="Y159" i="3"/>
  <c r="X19" i="3"/>
  <c r="V34" i="3"/>
  <c r="V36" i="3" s="1"/>
  <c r="V33" i="3"/>
  <c r="W33" i="3" s="1"/>
  <c r="W188" i="3" s="1"/>
  <c r="Z112" i="3"/>
  <c r="X23" i="3"/>
  <c r="X196" i="3" l="1"/>
  <c r="X208" i="3" s="1"/>
  <c r="X210" i="3" s="1"/>
  <c r="Y160" i="3"/>
  <c r="W187" i="3"/>
  <c r="W38" i="3"/>
  <c r="Y76" i="3"/>
  <c r="V42" i="3"/>
  <c r="V41" i="3"/>
  <c r="Z156" i="3"/>
  <c r="Z152" i="3"/>
  <c r="Z155" i="3"/>
  <c r="Z151" i="3"/>
  <c r="Z153" i="3"/>
  <c r="X146" i="3"/>
  <c r="X144" i="3"/>
  <c r="X24" i="3"/>
  <c r="X26" i="3" s="1"/>
  <c r="X18" i="3"/>
  <c r="V38" i="3"/>
  <c r="V43" i="3" s="1"/>
  <c r="W34" i="3"/>
  <c r="W36" i="3" s="1"/>
  <c r="AA109" i="3"/>
  <c r="Z157" i="3" l="1"/>
  <c r="X212" i="3"/>
  <c r="X37" i="3" s="1"/>
  <c r="X27" i="3"/>
  <c r="X28" i="3" s="1"/>
  <c r="X186" i="3"/>
  <c r="X32" i="3"/>
  <c r="W42" i="3"/>
  <c r="W41" i="3"/>
  <c r="W40" i="3"/>
  <c r="W43" i="3" s="1"/>
  <c r="W39" i="3"/>
  <c r="X145" i="3"/>
  <c r="X183" i="3"/>
  <c r="AA113" i="3"/>
  <c r="AA111" i="3"/>
  <c r="Y139" i="3"/>
  <c r="Y142" i="3"/>
  <c r="Y141" i="3"/>
  <c r="Y138" i="3"/>
  <c r="Y137" i="3"/>
  <c r="Y79" i="3"/>
  <c r="Y77" i="3"/>
  <c r="Y20" i="3" l="1"/>
  <c r="Z74" i="3"/>
  <c r="Z71" i="3"/>
  <c r="Z70" i="3"/>
  <c r="Z72" i="3"/>
  <c r="Z75" i="3"/>
  <c r="Y19" i="3"/>
  <c r="AA112" i="3"/>
  <c r="AB111" i="3"/>
  <c r="AB112" i="3" s="1"/>
  <c r="X187" i="3"/>
  <c r="Y143" i="3"/>
  <c r="Y17" i="3"/>
  <c r="Y22" i="3"/>
  <c r="Y78" i="3"/>
  <c r="X33" i="3"/>
  <c r="X34" i="3" s="1"/>
  <c r="X36" i="3" s="1"/>
  <c r="Y23" i="3"/>
  <c r="Z161" i="3"/>
  <c r="Z159" i="3"/>
  <c r="X42" i="3" l="1"/>
  <c r="X41" i="3"/>
  <c r="AA153" i="3"/>
  <c r="AA151" i="3"/>
  <c r="AA157" i="3" s="1"/>
  <c r="AA152" i="3"/>
  <c r="AA156" i="3"/>
  <c r="AA155" i="3"/>
  <c r="Y146" i="3"/>
  <c r="Y144" i="3"/>
  <c r="Y196" i="3"/>
  <c r="Y208" i="3" s="1"/>
  <c r="Y210" i="3" s="1"/>
  <c r="Z76" i="3"/>
  <c r="Z160" i="3"/>
  <c r="Y24" i="3"/>
  <c r="Y26" i="3" s="1"/>
  <c r="Y18" i="3"/>
  <c r="X38" i="3"/>
  <c r="X43" i="3" s="1"/>
  <c r="Z79" i="3" l="1"/>
  <c r="Z77" i="3"/>
  <c r="Y145" i="3"/>
  <c r="Y183" i="3"/>
  <c r="Y27" i="3"/>
  <c r="Y212" i="3"/>
  <c r="Y37" i="3" s="1"/>
  <c r="Z139" i="3"/>
  <c r="Z138" i="3"/>
  <c r="Z142" i="3"/>
  <c r="Z137" i="3"/>
  <c r="Z141" i="3"/>
  <c r="AA159" i="3"/>
  <c r="AA161" i="3"/>
  <c r="Y28" i="3"/>
  <c r="Y32" i="3"/>
  <c r="Y186" i="3"/>
  <c r="Z22" i="3" l="1"/>
  <c r="Z20" i="3"/>
  <c r="Y187" i="3"/>
  <c r="Y38" i="3"/>
  <c r="Y43" i="3" s="1"/>
  <c r="Z23" i="3"/>
  <c r="Z78" i="3"/>
  <c r="Y33" i="3"/>
  <c r="Y34" i="3"/>
  <c r="Y36" i="3" s="1"/>
  <c r="Z143" i="3"/>
  <c r="Z17" i="3"/>
  <c r="AA160" i="3"/>
  <c r="AB159" i="3"/>
  <c r="AB160" i="3" s="1"/>
  <c r="Z19" i="3"/>
  <c r="AA74" i="3"/>
  <c r="AA70" i="3"/>
  <c r="AA75" i="3"/>
  <c r="AA72" i="3"/>
  <c r="AA71" i="3"/>
  <c r="Y41" i="3" l="1"/>
  <c r="Y42" i="3"/>
  <c r="Z24" i="3"/>
  <c r="Z26" i="3" s="1"/>
  <c r="Z18" i="3"/>
  <c r="AA76" i="3"/>
  <c r="Z146" i="3"/>
  <c r="Z144" i="3"/>
  <c r="Z196" i="3"/>
  <c r="Z208" i="3" s="1"/>
  <c r="Z210" i="3" s="1"/>
  <c r="Z186" i="3" l="1"/>
  <c r="Z32" i="3"/>
  <c r="AA79" i="3"/>
  <c r="AA77" i="3"/>
  <c r="Z145" i="3"/>
  <c r="Z183" i="3"/>
  <c r="Z212" i="3"/>
  <c r="Z37" i="3" s="1"/>
  <c r="Z27" i="3"/>
  <c r="AA137" i="3"/>
  <c r="AA138" i="3"/>
  <c r="AA19" i="3" s="1"/>
  <c r="AB19" i="3" s="1"/>
  <c r="AA142" i="3"/>
  <c r="AA23" i="3" s="1"/>
  <c r="AA141" i="3"/>
  <c r="AA22" i="3" s="1"/>
  <c r="AB22" i="3" s="1"/>
  <c r="AA139" i="3"/>
  <c r="AA20" i="3" s="1"/>
  <c r="AB20" i="3" s="1"/>
  <c r="AA143" i="3" l="1"/>
  <c r="AA17" i="3"/>
  <c r="Z33" i="3"/>
  <c r="AA196" i="3"/>
  <c r="AA208" i="3" s="1"/>
  <c r="AA210" i="3" s="1"/>
  <c r="AB23" i="3"/>
  <c r="AA78" i="3"/>
  <c r="AB77" i="3"/>
  <c r="AB78" i="3" s="1"/>
  <c r="Z28" i="3"/>
  <c r="Z187" i="3" l="1"/>
  <c r="Z38" i="3"/>
  <c r="Z43" i="3" s="1"/>
  <c r="AA212" i="3"/>
  <c r="AA37" i="3" s="1"/>
  <c r="AB37" i="3" s="1"/>
  <c r="AA27" i="3"/>
  <c r="AB27" i="3" s="1"/>
  <c r="AA24" i="3"/>
  <c r="AA26" i="3" s="1"/>
  <c r="AA18" i="3"/>
  <c r="AB17" i="3"/>
  <c r="Z34" i="3"/>
  <c r="Z36" i="3" s="1"/>
  <c r="AA146" i="3"/>
  <c r="AA144" i="3"/>
  <c r="AA145" i="3" l="1"/>
  <c r="AB144" i="3"/>
  <c r="AB145" i="3" s="1"/>
  <c r="AA183" i="3"/>
  <c r="AA28" i="3"/>
  <c r="AA186" i="3"/>
  <c r="AA32" i="3"/>
  <c r="AB24" i="3"/>
  <c r="AB26" i="3" s="1"/>
  <c r="AB18" i="3"/>
  <c r="Z42" i="3"/>
  <c r="Z41" i="3"/>
  <c r="AB186" i="3" l="1"/>
  <c r="AB28" i="3"/>
  <c r="AB32" i="3"/>
  <c r="AB34" i="3" s="1"/>
  <c r="AB36" i="3" s="1"/>
  <c r="AA34" i="3"/>
  <c r="AA36" i="3" s="1"/>
  <c r="AA33" i="3"/>
  <c r="AB33" i="3" s="1"/>
  <c r="AA187" i="3"/>
  <c r="AA38" i="3"/>
  <c r="AA43" i="3" s="1"/>
  <c r="AB38" i="3" l="1"/>
  <c r="AB187" i="3"/>
  <c r="AA42" i="3"/>
  <c r="AA41" i="3"/>
  <c r="AB39" i="3"/>
  <c r="AB41" i="3" s="1"/>
  <c r="AB40" i="3"/>
  <c r="AB42" i="3" s="1"/>
  <c r="AB188" i="3"/>
  <c r="AB4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7" authorId="0" shapeId="0" xr:uid="{00000000-0006-0000-0100-000001000000}">
      <text>
        <r>
          <rPr>
            <sz val="9"/>
            <color indexed="81"/>
            <rFont val="Tahoma"/>
            <family val="2"/>
          </rPr>
          <t>Management views as a percentage of total net revenue. Margin % tends to shift with changes in food/beverage mix, cost of coffee, and changes in fx.</t>
        </r>
      </text>
    </comment>
    <comment ref="B25" authorId="0" shapeId="0" xr:uid="{00000000-0006-0000-0100-000002000000}">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W42" authorId="0" shapeId="0" xr:uid="{00000000-0006-0000-0100-000003000000}">
      <text>
        <r>
          <rPr>
            <b/>
            <sz val="9"/>
            <color indexed="81"/>
            <rFont val="Tahoma"/>
            <family val="2"/>
          </rPr>
          <t xml:space="preserve">F2Q2019 Earnings call guidance for FY2019: </t>
        </r>
        <r>
          <rPr>
            <sz val="9"/>
            <color indexed="81"/>
            <rFont val="Tahoma"/>
            <family val="2"/>
          </rPr>
          <t xml:space="preserve">GAAP EPS in the range of $2.40 to $2.44
</t>
        </r>
        <r>
          <rPr>
            <b/>
            <sz val="9"/>
            <color indexed="81"/>
            <rFont val="Tahoma"/>
            <family val="2"/>
          </rPr>
          <t>Past Guidance (F1Q2019 Earnings call guidance for FY2019):</t>
        </r>
        <r>
          <rPr>
            <sz val="9"/>
            <color indexed="81"/>
            <rFont val="Tahoma"/>
            <family val="2"/>
          </rPr>
          <t xml:space="preserve"> GAAP EPS in the range of $2.32 to $2.37
</t>
        </r>
      </text>
    </comment>
    <comment ref="W43" authorId="0" shapeId="0" xr:uid="{00000000-0006-0000-0100-000005000000}">
      <text>
        <r>
          <rPr>
            <b/>
            <sz val="9"/>
            <color indexed="81"/>
            <rFont val="Tahoma"/>
            <family val="2"/>
          </rPr>
          <t>F2Q2019 Earnings call guidance for FY2019:</t>
        </r>
        <r>
          <rPr>
            <sz val="9"/>
            <color indexed="81"/>
            <rFont val="Tahoma"/>
            <family val="2"/>
          </rPr>
          <t xml:space="preserve"> Non-GAAP EPS in the range of $2.75 to $2.79 
</t>
        </r>
        <r>
          <rPr>
            <b/>
            <sz val="9"/>
            <color indexed="81"/>
            <rFont val="Tahoma"/>
            <family val="2"/>
          </rPr>
          <t>Past Guidance (F1Q2019 Earnings call guidance for FY2019):</t>
        </r>
        <r>
          <rPr>
            <sz val="9"/>
            <color indexed="81"/>
            <rFont val="Tahoma"/>
            <family val="2"/>
          </rPr>
          <t xml:space="preserve"> Non-GAAP EPS in the range of $2.68 to $2.73 </t>
        </r>
      </text>
    </comment>
    <comment ref="W68" authorId="0" shapeId="0" xr:uid="{00000000-0006-0000-0100-000008000000}">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78" authorId="0" shapeId="0" xr:uid="{00000000-0006-0000-0100-000009000000}">
      <text>
        <r>
          <rPr>
            <b/>
            <sz val="9"/>
            <color indexed="81"/>
            <rFont val="Tahoma"/>
            <family val="2"/>
          </rPr>
          <t xml:space="preserve">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01" authorId="0" shapeId="0" xr:uid="{00000000-0006-0000-0100-00000D000000}">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112" authorId="0" shapeId="0" xr:uid="{00000000-0006-0000-0100-00000E000000}">
      <text>
        <r>
          <rPr>
            <b/>
            <sz val="9"/>
            <color indexed="81"/>
            <rFont val="Tahoma"/>
            <family val="2"/>
          </rPr>
          <t xml:space="preserve">F2Q2019 Earnings call guidance for FY2019:
</t>
        </r>
        <r>
          <rPr>
            <sz val="9"/>
            <color indexed="81"/>
            <rFont val="Tahoma"/>
            <family val="2"/>
          </rPr>
          <t>Consolidated operating margin down moderately</t>
        </r>
        <r>
          <rPr>
            <b/>
            <sz val="9"/>
            <color indexed="81"/>
            <rFont val="Tahoma"/>
            <family val="2"/>
          </rPr>
          <t xml:space="preserve">
</t>
        </r>
        <r>
          <rPr>
            <sz val="9"/>
            <color indexed="81"/>
            <rFont val="Tahoma"/>
            <family val="2"/>
          </rPr>
          <t>&gt;Americas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35" authorId="0" shapeId="0" xr:uid="{00000000-0006-0000-0100-000010000000}">
      <text>
        <r>
          <rPr>
            <b/>
            <sz val="9"/>
            <color indexed="81"/>
            <rFont val="Tahoma"/>
            <family val="2"/>
          </rPr>
          <t xml:space="preserve">1Q2019 Earnings call guidance for FY2019: </t>
        </r>
        <r>
          <rPr>
            <sz val="9"/>
            <color indexed="81"/>
            <rFont val="Tahoma"/>
            <family val="2"/>
          </rPr>
          <t>~2,100 net new Starbucks stores globally
Americas over 600
CAP ~1,100 (nearly 600 in China)
EMEA ~400 (virtually all license)</t>
        </r>
      </text>
    </comment>
    <comment ref="W145" authorId="0" shapeId="0" xr:uid="{00000000-0006-0000-0100-000011000000}">
      <text>
        <r>
          <rPr>
            <b/>
            <sz val="9"/>
            <color indexed="81"/>
            <rFont val="Tahoma"/>
            <family val="2"/>
          </rPr>
          <t xml:space="preserve">F2Q2019 Earnings call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60" authorId="0" shapeId="0" xr:uid="{00000000-0006-0000-0100-000012000000}">
      <text>
        <r>
          <rPr>
            <b/>
            <sz val="9"/>
            <color indexed="81"/>
            <rFont val="Tahoma"/>
            <family val="2"/>
          </rPr>
          <t xml:space="preserve">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W185" authorId="0" shapeId="0" xr:uid="{00000000-0006-0000-0100-000013000000}">
      <text>
        <r>
          <rPr>
            <b/>
            <sz val="9"/>
            <color indexed="81"/>
            <rFont val="Tahoma"/>
            <family val="2"/>
          </rPr>
          <t xml:space="preserve">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W188" authorId="0" shapeId="0" xr:uid="{00000000-0006-0000-0100-000014000000}">
      <text>
        <r>
          <rPr>
            <b/>
            <sz val="9"/>
            <color indexed="81"/>
            <rFont val="Tahoma"/>
            <family val="2"/>
          </rPr>
          <t xml:space="preserve">F2Q2019 Earnings call guidance for FY2019: </t>
        </r>
        <r>
          <rPr>
            <sz val="9"/>
            <color indexed="81"/>
            <rFont val="Tahoma"/>
            <family val="2"/>
          </rPr>
          <t xml:space="preserve">20% to 22%, Non-GAAP tax rate in the range of 19% to 21%.
</t>
        </r>
        <r>
          <rPr>
            <b/>
            <sz val="9"/>
            <color indexed="81"/>
            <rFont val="Tahoma"/>
            <family val="2"/>
          </rPr>
          <t>Past Guidance (F1Q2019 Earnings call guidance for FY2019):</t>
        </r>
        <r>
          <rPr>
            <sz val="9"/>
            <color indexed="81"/>
            <rFont val="Tahoma"/>
            <family val="2"/>
          </rPr>
          <t xml:space="preserve"> 21% to 23%</t>
        </r>
      </text>
    </comment>
  </commentList>
</comments>
</file>

<file path=xl/sharedStrings.xml><?xml version="1.0" encoding="utf-8"?>
<sst xmlns="http://schemas.openxmlformats.org/spreadsheetml/2006/main" count="509" uniqueCount="187">
  <si>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</si>
  <si>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</si>
  <si>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</si>
  <si>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</si>
  <si>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</si>
  <si>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</si>
  <si>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</si>
  <si>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</si>
  <si>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</si>
  <si>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</si>
  <si>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</si>
  <si>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</si>
  <si>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</si>
  <si>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</si>
  <si>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</si>
  <si>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</si>
  <si>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</si>
  <si>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</si>
  <si>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</si>
  <si>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Non-GAAP Adjustments</t>
  </si>
  <si>
    <t>Segment Data</t>
  </si>
  <si>
    <t>Reconciliation</t>
  </si>
  <si>
    <t>June-18</t>
  </si>
  <si>
    <t>Sept-18</t>
  </si>
  <si>
    <t>Dec-18</t>
  </si>
  <si>
    <t>June-17</t>
  </si>
  <si>
    <t>Sept-17</t>
  </si>
  <si>
    <t>Dec-17</t>
  </si>
  <si>
    <t>June-16</t>
  </si>
  <si>
    <t>Sept-16</t>
  </si>
  <si>
    <t>Dec-16</t>
  </si>
  <si>
    <t xml:space="preserve">   Gross Profit</t>
  </si>
  <si>
    <t xml:space="preserve">   Net income attributable to common shareholders</t>
  </si>
  <si>
    <t>Other</t>
  </si>
  <si>
    <t>Revenue growth rate (GAAP, YoY)</t>
  </si>
  <si>
    <t>Starbucks Income Statement</t>
  </si>
  <si>
    <t>Mar-17</t>
  </si>
  <si>
    <t>F1Q17</t>
  </si>
  <si>
    <t>F2Q17</t>
  </si>
  <si>
    <t>F3Q17</t>
  </si>
  <si>
    <t>F4Q17</t>
  </si>
  <si>
    <t>FY 2017</t>
  </si>
  <si>
    <t>Dec-15</t>
  </si>
  <si>
    <t>Mar-16</t>
  </si>
  <si>
    <t>F1Q16</t>
  </si>
  <si>
    <t>F2Q16</t>
  </si>
  <si>
    <t>F3Q16</t>
  </si>
  <si>
    <t>F4Q16</t>
  </si>
  <si>
    <t>FY 2016</t>
  </si>
  <si>
    <t>Mar-18</t>
  </si>
  <si>
    <t>F1Q18</t>
  </si>
  <si>
    <t>F2Q18</t>
  </si>
  <si>
    <t>F3Q18</t>
  </si>
  <si>
    <t>F4Q18</t>
  </si>
  <si>
    <t>FY 2018</t>
  </si>
  <si>
    <t>F1Q19</t>
  </si>
  <si>
    <t>June-19E</t>
  </si>
  <si>
    <t>Sept-19E</t>
  </si>
  <si>
    <t>Dec-19E</t>
  </si>
  <si>
    <t>Mar-20E</t>
  </si>
  <si>
    <t>June-20E</t>
  </si>
  <si>
    <t>Sept-20E</t>
  </si>
  <si>
    <t>F3Q19E</t>
  </si>
  <si>
    <t>F4Q19E</t>
  </si>
  <si>
    <t>FY 2019E</t>
  </si>
  <si>
    <t>F1Q20E</t>
  </si>
  <si>
    <t>F2Q20E</t>
  </si>
  <si>
    <t>F3Q20E</t>
  </si>
  <si>
    <t>F4Q20E</t>
  </si>
  <si>
    <t>FY 2020E</t>
  </si>
  <si>
    <t>Company-operated stores</t>
  </si>
  <si>
    <t>Licensed stores</t>
  </si>
  <si>
    <t>Total net revenues</t>
  </si>
  <si>
    <t>Cost of sales including occupancy costs</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</si>
  <si>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</si>
  <si>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</si>
  <si>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</si>
  <si>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</si>
  <si>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</si>
  <si>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</si>
  <si>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</si>
  <si>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</si>
  <si>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</si>
  <si>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</si>
  <si>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</si>
  <si>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</si>
  <si>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</si>
  <si>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</si>
  <si>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</si>
  <si>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</si>
  <si>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</si>
  <si>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</si>
  <si>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</si>
  <si>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</si>
  <si>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</si>
  <si>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</si>
  <si>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</si>
  <si>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</si>
  <si>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</si>
  <si>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</si>
  <si>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</si>
  <si>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</si>
  <si>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</si>
  <si>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</si>
  <si>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</si>
  <si>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</si>
  <si>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China/Asia Pacific CAP (GAAP)</t>
  </si>
  <si>
    <t>CAP company-operated stores</t>
  </si>
  <si>
    <t>CAP Revenue: Company-operated stores ($M)</t>
  </si>
  <si>
    <t>CAP licensed stores</t>
  </si>
  <si>
    <t>Operating expenses exDepreciation($M)</t>
  </si>
  <si>
    <t>Operating expenses exDepreciation (% of revenue)</t>
  </si>
  <si>
    <t>CAP Revenue: licensed stores ($M)</t>
  </si>
  <si>
    <t>CAP Revenue: Other</t>
  </si>
  <si>
    <t>CAP total stores</t>
  </si>
  <si>
    <t>CAP total net store additions</t>
  </si>
  <si>
    <t>CAP total net revenues ($M)</t>
  </si>
  <si>
    <t>CAP Total operating margin (%)</t>
  </si>
  <si>
    <t>CAP Total operating income</t>
  </si>
  <si>
    <t>CAP Total operating expenses</t>
  </si>
  <si>
    <t>EMEA company-operated stores</t>
  </si>
  <si>
    <t>Europe Middle East and Africa EMEA (GAAP)</t>
  </si>
  <si>
    <t>EMEA Revenue: Company-operated stores ($M)</t>
  </si>
  <si>
    <t>EMEA licensed stores</t>
  </si>
  <si>
    <t>EMEA Revenue: licensed stores ($M)</t>
  </si>
  <si>
    <t>EMEA Revenue: Other</t>
  </si>
  <si>
    <t>EMEA total stores</t>
  </si>
  <si>
    <t>EMEA total net store additions</t>
  </si>
  <si>
    <t>EMEA total net revenues ($M)</t>
  </si>
  <si>
    <t>EMEA Total operating expenses</t>
  </si>
  <si>
    <t>EMEA Total operating income</t>
  </si>
  <si>
    <t>EMEA Total operating margin (%)</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</si>
  <si>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</si>
  <si>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</si>
  <si>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</si>
  <si>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</si>
  <si>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</si>
  <si>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</si>
  <si>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</si>
  <si>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Channel Dev Revenue</t>
  </si>
  <si>
    <t>Revenue YoY growth rate</t>
  </si>
  <si>
    <t>Licensed store revenue YoY growth rate</t>
  </si>
  <si>
    <t>Company-operated store revenue YoY growth rate</t>
  </si>
  <si>
    <t>Company-operated stores ($M)</t>
  </si>
  <si>
    <t>Licensed stores ($M)</t>
  </si>
  <si>
    <t>Other revenue ($M)</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</si>
  <si>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</si>
  <si>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</si>
  <si>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</si>
  <si>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</si>
  <si>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</si>
  <si>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</si>
  <si>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</si>
  <si>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</si>
  <si>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</si>
  <si>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CAP Transaction (Operating expenses)</t>
  </si>
  <si>
    <t>Stock Awards (Operating expenses)</t>
  </si>
  <si>
    <t>Total impact on operating expenses</t>
  </si>
  <si>
    <t>Total impact on operating income</t>
  </si>
  <si>
    <t>Gain/(loss) on acquisitions and divestitures (Net income)</t>
  </si>
  <si>
    <t>Sale of Brazil retail operations (Operating expenses)</t>
  </si>
  <si>
    <t>Sale of Tazo brand (Operating expenses)</t>
  </si>
  <si>
    <t>Sale of Singapore retail operations (Operating expense)</t>
  </si>
  <si>
    <t>Greater China transaction costs (Operating expense)</t>
  </si>
  <si>
    <t>Starbucks Japan acquisition related items (Operating expense)</t>
  </si>
  <si>
    <t>Starbucks Foundation donation (Operating expense)</t>
  </si>
  <si>
    <t>Impact of extra week - 4Q2016 (Operating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</si>
  <si>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</si>
  <si>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</si>
  <si>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</si>
  <si>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</si>
  <si>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</si>
  <si>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</si>
  <si>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</si>
  <si>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Costs incurred on sale of Germany retail operations (Opex)</t>
  </si>
  <si>
    <t>Share Count Analysis (ASR included in change)</t>
  </si>
  <si>
    <t>Operating margin (Non-GAAP)</t>
  </si>
  <si>
    <t>All Other  (Operating expense)</t>
  </si>
  <si>
    <t>Americas total operating expenses</t>
  </si>
  <si>
    <t>Americas total operating income</t>
  </si>
  <si>
    <t>Americas total operating margin (%)</t>
  </si>
  <si>
    <t>Purple cells = Company guidance (updated 4/25/2019)</t>
  </si>
  <si>
    <t>F2Q19</t>
  </si>
  <si>
    <t>Mar-19</t>
  </si>
  <si>
    <t>General and administrative expenses (GAAP)</t>
  </si>
  <si>
    <r>
      <t xml:space="preserve">Last updated: </t>
    </r>
    <r>
      <rPr>
        <sz val="11"/>
        <color theme="1"/>
        <rFont val="Calibri"/>
        <family val="2"/>
        <scheme val="minor"/>
      </rPr>
      <t>5/19/2019</t>
    </r>
  </si>
  <si>
    <t>Blue cells = Primary estimates (last updated 5/27/2019)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</si>
</sst>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u val="singleAccounting"/>
      <sz val="11"/>
      <color rgb="FFFF0000"/>
      <name val="Calibri"/>
      <family val="2"/>
      <scheme val="minor"/>
    </font>
    <font>
      <b/>
      <i/>
      <sz val="8"/>
      <color rgb="FFFF0000"/>
      <name val="Calibri"/>
      <family val="2"/>
      <scheme val="minor"/>
    </font>
    <font>
      <u/>
      <sz val="11"/>
      <name val="Calibri"/>
      <family val="2"/>
      <scheme val="minor"/>
    </font>
    <font>
      <i/>
      <sz val="11"/>
      <color theme="3"/>
      <name val="Calibri"/>
      <family val="2"/>
      <scheme val="minor"/>
    </font>
    <font>
      <i/>
      <sz val="8"/>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thin">
        <color auto="1"/>
      </top>
      <bottom style="double">
        <color auto="1"/>
      </bottom>
      <diagonal/>
    </border>
    <border>
      <left/>
      <right/>
      <top/>
      <bottom style="double">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85">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167" fontId="4" fillId="0" borderId="0" xfId="1" applyNumberFormat="1"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4" fontId="4" fillId="0" borderId="5" xfId="1"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9" fontId="61" fillId="9" borderId="0" xfId="2"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6" fontId="61" fillId="0" borderId="5" xfId="2" quotePrefix="1" applyNumberFormat="1" applyFont="1" applyBorder="1" applyAlignment="1">
      <alignment horizontal="right"/>
    </xf>
    <xf numFmtId="0" fontId="62" fillId="0" borderId="3" xfId="0" applyFont="1" applyBorder="1" applyAlignment="1">
      <alignment horizontal="left" indent="2"/>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5" fillId="0" borderId="0" xfId="2" applyNumberFormat="1" applyFont="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23" xfId="0" applyFont="1" applyBorder="1" applyAlignment="1">
      <alignment horizontal="left"/>
    </xf>
    <xf numFmtId="5" fontId="62" fillId="0" borderId="2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0" fontId="2" fillId="0" borderId="0" xfId="0" applyFont="1"/>
    <xf numFmtId="166" fontId="61" fillId="0" borderId="0" xfId="2" applyNumberFormat="1" applyFont="1" applyAlignment="1">
      <alignment horizontal="left"/>
    </xf>
    <xf numFmtId="9" fontId="61" fillId="0" borderId="0" xfId="1" applyNumberFormat="1" applyFont="1" applyAlignment="1">
      <alignment horizontal="left"/>
    </xf>
    <xf numFmtId="0" fontId="61" fillId="0" borderId="10" xfId="0" applyFont="1" applyBorder="1" applyAlignment="1">
      <alignment horizontal="left"/>
    </xf>
    <xf numFmtId="0" fontId="61" fillId="0" borderId="4" xfId="0" applyFont="1" applyBorder="1"/>
    <xf numFmtId="165" fontId="66" fillId="0" borderId="5" xfId="1" quotePrefix="1" applyNumberFormat="1" applyFont="1" applyBorder="1" applyAlignment="1">
      <alignment horizontal="right"/>
    </xf>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9" fontId="4" fillId="0" borderId="0" xfId="1" applyNumberFormat="1" applyFont="1" applyAlignment="1">
      <alignment horizontal="right"/>
    </xf>
    <xf numFmtId="17" fontId="61" fillId="0" borderId="0" xfId="1" applyNumberFormat="1" applyFont="1" applyAlignment="1">
      <alignment horizontal="right" wrapText="1"/>
    </xf>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0" fontId="61" fillId="0" borderId="3" xfId="0" applyFont="1" applyBorder="1" applyAlignment="1">
      <alignment horizontal="left" indent="5"/>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63" fillId="0" borderId="0" xfId="1" applyNumberFormat="1" applyFont="1" applyAlignment="1">
      <alignment horizontal="right"/>
    </xf>
    <xf numFmtId="164" fontId="63" fillId="0" borderId="5" xfId="1" applyNumberFormat="1" applyFont="1" applyBorder="1" applyAlignment="1">
      <alignment horizontal="right"/>
    </xf>
    <xf numFmtId="164" fontId="54" fillId="0" borderId="0" xfId="1" applyNumberFormat="1" applyFont="1" applyAlignment="1">
      <alignment horizontal="right"/>
    </xf>
    <xf numFmtId="164" fontId="54" fillId="0" borderId="5" xfId="1" applyNumberFormat="1" applyFont="1" applyBorder="1" applyAlignment="1">
      <alignment horizontal="right"/>
    </xf>
    <xf numFmtId="164" fontId="63" fillId="9" borderId="0" xfId="1" applyNumberFormat="1" applyFont="1" applyFill="1" applyAlignment="1">
      <alignment horizontal="right"/>
    </xf>
    <xf numFmtId="0" fontId="66" fillId="0" borderId="0" xfId="0" applyFont="1"/>
    <xf numFmtId="165" fontId="67" fillId="0" borderId="5" xfId="1" quotePrefix="1" applyNumberFormat="1" applyFont="1" applyBorder="1" applyAlignment="1">
      <alignment horizontal="right"/>
    </xf>
    <xf numFmtId="165" fontId="55" fillId="0" borderId="5" xfId="1" quotePrefix="1" applyNumberFormat="1" applyFont="1" applyBorder="1" applyAlignment="1">
      <alignment horizontal="right"/>
    </xf>
    <xf numFmtId="165" fontId="61" fillId="0" borderId="30" xfId="1" applyNumberFormat="1" applyFont="1" applyBorder="1" applyAlignment="1">
      <alignment horizontal="right"/>
    </xf>
    <xf numFmtId="165" fontId="65" fillId="0" borderId="29" xfId="1" quotePrefix="1" applyNumberFormat="1" applyFont="1" applyBorder="1" applyAlignment="1">
      <alignment horizontal="right"/>
    </xf>
    <xf numFmtId="165" fontId="4" fillId="0" borderId="29" xfId="1" quotePrefix="1" applyNumberFormat="1" applyFont="1" applyBorder="1" applyAlignment="1">
      <alignment horizontal="right"/>
    </xf>
    <xf numFmtId="9" fontId="62" fillId="0" borderId="0" xfId="2" applyFont="1" applyAlignment="1">
      <alignment horizontal="right"/>
    </xf>
    <xf numFmtId="9" fontId="68" fillId="0" borderId="0" xfId="2" applyFont="1" applyAlignment="1">
      <alignment horizontal="right"/>
    </xf>
    <xf numFmtId="9" fontId="68" fillId="0" borderId="5" xfId="2" applyFont="1" applyBorder="1" applyAlignment="1">
      <alignment horizontal="right"/>
    </xf>
    <xf numFmtId="9" fontId="62" fillId="0" borderId="5" xfId="2" applyFont="1" applyBorder="1" applyAlignment="1">
      <alignment horizontal="right"/>
    </xf>
    <xf numFmtId="164" fontId="67" fillId="0" borderId="5" xfId="1" quotePrefix="1" applyNumberFormat="1" applyFont="1" applyBorder="1" applyAlignment="1">
      <alignment horizontal="right"/>
    </xf>
    <xf numFmtId="164" fontId="55" fillId="0" borderId="5" xfId="1" quotePrefix="1" applyNumberFormat="1" applyFont="1" applyBorder="1" applyAlignment="1">
      <alignment horizontal="right"/>
    </xf>
    <xf numFmtId="9" fontId="62" fillId="9" borderId="0" xfId="2" applyFont="1" applyFill="1" applyAlignment="1">
      <alignment horizontal="right"/>
    </xf>
    <xf numFmtId="167" fontId="61" fillId="9" borderId="0" xfId="1" applyNumberFormat="1" applyFont="1" applyFill="1" applyAlignment="1">
      <alignment horizontal="right"/>
    </xf>
    <xf numFmtId="0" fontId="69" fillId="0" borderId="0" xfId="0" applyFont="1"/>
    <xf numFmtId="0" fontId="69" fillId="0" borderId="3" xfId="0" applyFont="1" applyBorder="1" applyAlignment="1">
      <alignment horizontal="left"/>
    </xf>
    <xf numFmtId="0" fontId="69" fillId="0" borderId="4" xfId="0" applyFont="1" applyBorder="1" applyAlignment="1">
      <alignment horizontal="left"/>
    </xf>
    <xf numFmtId="165" fontId="69" fillId="0" borderId="0" xfId="1" applyNumberFormat="1" applyFont="1" applyAlignment="1">
      <alignment horizontal="right"/>
    </xf>
    <xf numFmtId="165" fontId="70" fillId="0" borderId="5" xfId="1" quotePrefix="1" applyNumberFormat="1" applyFont="1" applyBorder="1" applyAlignment="1">
      <alignment horizontal="right"/>
    </xf>
    <xf numFmtId="165" fontId="69" fillId="9" borderId="0" xfId="1" applyNumberFormat="1" applyFont="1" applyFill="1" applyAlignment="1">
      <alignment horizontal="right"/>
    </xf>
    <xf numFmtId="165" fontId="69" fillId="0" borderId="5" xfId="1" quotePrefix="1" applyNumberFormat="1" applyFont="1" applyBorder="1" applyAlignment="1">
      <alignment horizontal="right"/>
    </xf>
    <xf numFmtId="167" fontId="69" fillId="9" borderId="0" xfId="1" applyNumberFormat="1" applyFont="1" applyFill="1" applyAlignment="1">
      <alignment horizontal="right"/>
    </xf>
    <xf numFmtId="0" fontId="69" fillId="0" borderId="3" xfId="0" applyFont="1" applyBorder="1" applyAlignment="1">
      <alignment horizontal="left" indent="2"/>
    </xf>
    <xf numFmtId="0" fontId="69" fillId="0" borderId="4" xfId="0" applyFont="1" applyBorder="1" applyAlignment="1">
      <alignment horizontal="left" indent="1"/>
    </xf>
    <xf numFmtId="164" fontId="69" fillId="0" borderId="0" xfId="1" applyNumberFormat="1" applyFont="1" applyAlignment="1">
      <alignment horizontal="right"/>
    </xf>
    <xf numFmtId="164" fontId="70" fillId="0" borderId="5" xfId="1" quotePrefix="1" applyNumberFormat="1" applyFont="1" applyBorder="1" applyAlignment="1">
      <alignment horizontal="right"/>
    </xf>
    <xf numFmtId="164" fontId="69" fillId="0" borderId="5" xfId="1" quotePrefix="1" applyNumberFormat="1" applyFont="1" applyBorder="1" applyAlignment="1">
      <alignment horizontal="right"/>
    </xf>
    <xf numFmtId="167" fontId="69" fillId="0" borderId="0" xfId="1" applyNumberFormat="1" applyFont="1" applyAlignment="1">
      <alignment horizontal="right"/>
    </xf>
    <xf numFmtId="167" fontId="69" fillId="0" borderId="5" xfId="1" quotePrefix="1" applyNumberFormat="1" applyFont="1" applyBorder="1" applyAlignment="1">
      <alignment horizontal="right"/>
    </xf>
    <xf numFmtId="165" fontId="62" fillId="0" borderId="31" xfId="1" applyNumberFormat="1" applyFont="1" applyBorder="1" applyAlignment="1">
      <alignment horizontal="right"/>
    </xf>
    <xf numFmtId="165" fontId="67" fillId="0" borderId="32" xfId="1" quotePrefix="1" applyNumberFormat="1" applyFont="1" applyBorder="1" applyAlignment="1">
      <alignment horizontal="right"/>
    </xf>
    <xf numFmtId="165" fontId="55" fillId="0" borderId="32" xfId="1" quotePrefix="1" applyNumberFormat="1" applyFont="1" applyBorder="1" applyAlignment="1">
      <alignment horizontal="right"/>
    </xf>
    <xf numFmtId="0" fontId="61" fillId="0" borderId="12" xfId="0" applyFont="1" applyBorder="1" applyAlignment="1">
      <alignment horizontal="left" indent="2"/>
    </xf>
    <xf numFmtId="0" fontId="61" fillId="0" borderId="13" xfId="0" applyFont="1" applyBorder="1" applyAlignment="1">
      <alignment horizontal="left" indent="1"/>
    </xf>
    <xf numFmtId="9" fontId="61" fillId="0" borderId="30" xfId="2" applyFont="1" applyBorder="1" applyAlignment="1">
      <alignment horizontal="right"/>
    </xf>
    <xf numFmtId="9" fontId="61" fillId="9" borderId="30" xfId="2" applyFont="1" applyFill="1" applyBorder="1" applyAlignment="1">
      <alignment horizontal="right"/>
    </xf>
    <xf numFmtId="165" fontId="62" fillId="0" borderId="30" xfId="1" applyNumberFormat="1" applyFont="1" applyBorder="1" applyAlignment="1">
      <alignment horizontal="right"/>
    </xf>
    <xf numFmtId="165" fontId="67" fillId="0" borderId="29" xfId="1" quotePrefix="1" applyNumberFormat="1" applyFont="1" applyBorder="1" applyAlignment="1">
      <alignment horizontal="right"/>
    </xf>
    <xf numFmtId="164" fontId="62" fillId="0" borderId="30" xfId="1" applyNumberFormat="1" applyFont="1" applyBorder="1" applyAlignment="1">
      <alignment horizontal="right"/>
    </xf>
    <xf numFmtId="164" fontId="67" fillId="0" borderId="29" xfId="1" quotePrefix="1" applyNumberFormat="1" applyFont="1" applyBorder="1" applyAlignment="1">
      <alignment horizontal="right"/>
    </xf>
    <xf numFmtId="164" fontId="55" fillId="0" borderId="29" xfId="1" quotePrefix="1" applyNumberFormat="1" applyFont="1" applyBorder="1" applyAlignment="1">
      <alignment horizontal="right"/>
    </xf>
    <xf numFmtId="164" fontId="62" fillId="0" borderId="29" xfId="1" quotePrefix="1" applyNumberFormat="1" applyFont="1" applyBorder="1" applyAlignment="1">
      <alignment horizontal="right"/>
    </xf>
    <xf numFmtId="164" fontId="61" fillId="0" borderId="0" xfId="2" applyNumberFormat="1" applyFont="1" applyAlignment="1">
      <alignment horizontal="right"/>
    </xf>
    <xf numFmtId="164" fontId="63" fillId="0" borderId="0" xfId="2" applyNumberFormat="1" applyFont="1" applyAlignment="1">
      <alignment horizontal="right"/>
    </xf>
    <xf numFmtId="164" fontId="62" fillId="0" borderId="0" xfId="2" applyNumberFormat="1" applyFont="1" applyAlignment="1">
      <alignment horizontal="right"/>
    </xf>
    <xf numFmtId="166" fontId="62" fillId="0" borderId="0" xfId="2" applyNumberFormat="1" applyFont="1" applyAlignment="1">
      <alignment horizontal="right"/>
    </xf>
    <xf numFmtId="164" fontId="55" fillId="0" borderId="5" xfId="2" quotePrefix="1" applyNumberFormat="1" applyFont="1" applyBorder="1" applyAlignment="1">
      <alignment horizontal="right"/>
    </xf>
    <xf numFmtId="43" fontId="69" fillId="0" borderId="0" xfId="1" applyFont="1"/>
    <xf numFmtId="43" fontId="69" fillId="0" borderId="4" xfId="1" applyFont="1" applyBorder="1"/>
    <xf numFmtId="43" fontId="69" fillId="0" borderId="0" xfId="1" applyFont="1" applyAlignment="1">
      <alignment horizontal="right"/>
    </xf>
    <xf numFmtId="43" fontId="69" fillId="0" borderId="5" xfId="1" quotePrefix="1" applyFont="1" applyBorder="1" applyAlignment="1">
      <alignment horizontal="right"/>
    </xf>
    <xf numFmtId="43" fontId="69" fillId="0" borderId="3" xfId="1" applyFont="1" applyBorder="1" applyAlignment="1">
      <alignment horizontal="left" indent="4"/>
    </xf>
    <xf numFmtId="165" fontId="69" fillId="0" borderId="5" xfId="1" applyNumberFormat="1" applyFont="1" applyBorder="1" applyAlignment="1">
      <alignment horizontal="right"/>
    </xf>
    <xf numFmtId="166" fontId="69" fillId="0" borderId="0" xfId="2" applyNumberFormat="1" applyFont="1" applyAlignment="1">
      <alignment horizontal="right"/>
    </xf>
    <xf numFmtId="166" fontId="69" fillId="0" borderId="5" xfId="2" applyNumberFormat="1" applyFont="1" applyBorder="1" applyAlignment="1">
      <alignment horizontal="right"/>
    </xf>
    <xf numFmtId="166" fontId="69" fillId="9" borderId="0" xfId="2" applyNumberFormat="1" applyFont="1" applyFill="1" applyAlignment="1">
      <alignment horizontal="right"/>
    </xf>
    <xf numFmtId="225" fontId="4" fillId="0" borderId="5" xfId="1" quotePrefix="1" applyNumberFormat="1" applyFont="1" applyBorder="1" applyAlignment="1">
      <alignment horizontal="right"/>
    </xf>
    <xf numFmtId="164" fontId="61" fillId="0" borderId="32" xfId="1" applyNumberFormat="1" applyFont="1" applyBorder="1" applyAlignment="1">
      <alignment horizontal="right"/>
    </xf>
    <xf numFmtId="164" fontId="63" fillId="0" borderId="5" xfId="2" applyNumberFormat="1" applyFont="1" applyBorder="1" applyAlignment="1">
      <alignment horizontal="right"/>
    </xf>
    <xf numFmtId="9" fontId="61" fillId="0" borderId="3" xfId="2" applyFont="1" applyBorder="1" applyAlignment="1">
      <alignment horizontal="right"/>
    </xf>
    <xf numFmtId="164" fontId="61" fillId="0" borderId="3" xfId="1" applyNumberFormat="1" applyFont="1" applyBorder="1" applyAlignment="1">
      <alignment horizontal="right"/>
    </xf>
    <xf numFmtId="0" fontId="72" fillId="0" borderId="0" xfId="0" applyFont="1"/>
    <xf numFmtId="0" fontId="73" fillId="0" borderId="4" xfId="0" applyFont="1" applyBorder="1" applyAlignment="1">
      <alignment horizontal="left"/>
    </xf>
    <xf numFmtId="0" fontId="71" fillId="0" borderId="13" xfId="0" applyFont="1" applyBorder="1"/>
    <xf numFmtId="164" fontId="71" fillId="0" borderId="30" xfId="1" applyNumberFormat="1" applyFont="1" applyBorder="1" applyAlignment="1">
      <alignment horizontal="right"/>
    </xf>
    <xf numFmtId="164" fontId="71" fillId="0" borderId="29" xfId="1" applyNumberFormat="1" applyFont="1" applyBorder="1" applyAlignment="1">
      <alignment horizontal="right"/>
    </xf>
    <xf numFmtId="43" fontId="71" fillId="0" borderId="36" xfId="1" applyFont="1" applyBorder="1" applyAlignment="1">
      <alignment horizontal="right"/>
    </xf>
    <xf numFmtId="43" fontId="71" fillId="0" borderId="34" xfId="1" applyFont="1" applyBorder="1" applyAlignment="1">
      <alignment horizontal="righ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9" fontId="65" fillId="0" borderId="0" xfId="2" applyFont="1" applyAlignment="1">
      <alignment horizontal="right"/>
    </xf>
    <xf numFmtId="0" fontId="71" fillId="0" borderId="26" xfId="0" applyFont="1" applyBorder="1" applyAlignment="1">
      <alignment horizontal="left"/>
    </xf>
    <xf numFmtId="0" fontId="71" fillId="0" borderId="12" xfId="0" applyFont="1" applyBorder="1" applyAlignment="1">
      <alignment horizontal="left" indent="2"/>
    </xf>
    <xf numFmtId="0" fontId="71" fillId="0" borderId="13" xfId="0" applyFont="1" applyBorder="1" applyAlignment="1">
      <alignment horizontal="left"/>
    </xf>
    <xf numFmtId="0" fontId="69" fillId="0" borderId="25" xfId="0" applyFont="1" applyBorder="1" applyAlignment="1">
      <alignment horizontal="left" indent="1"/>
    </xf>
    <xf numFmtId="0" fontId="69" fillId="0" borderId="26" xfId="0" applyFont="1" applyBorder="1"/>
    <xf numFmtId="164" fontId="74" fillId="0" borderId="31" xfId="1" applyNumberFormat="1" applyFont="1" applyBorder="1" applyAlignment="1">
      <alignment horizontal="right"/>
    </xf>
    <xf numFmtId="164" fontId="74" fillId="0" borderId="32" xfId="1" applyNumberFormat="1" applyFont="1" applyBorder="1" applyAlignment="1">
      <alignment horizontal="right"/>
    </xf>
    <xf numFmtId="164" fontId="75" fillId="0" borderId="31" xfId="1" applyNumberFormat="1" applyFont="1" applyBorder="1" applyAlignment="1">
      <alignment horizontal="right"/>
    </xf>
    <xf numFmtId="164" fontId="75" fillId="0" borderId="32" xfId="1" applyNumberFormat="1" applyFont="1" applyBorder="1" applyAlignment="1">
      <alignment horizontal="right"/>
    </xf>
    <xf numFmtId="0" fontId="71" fillId="0" borderId="35" xfId="0" applyFont="1" applyBorder="1" applyAlignment="1">
      <alignment horizontal="left" indent="2"/>
    </xf>
    <xf numFmtId="43" fontId="65" fillId="0" borderId="0" xfId="2" applyNumberFormat="1" applyFont="1" applyAlignment="1">
      <alignment horizontal="right"/>
    </xf>
    <xf numFmtId="9" fontId="61" fillId="0" borderId="7" xfId="2" applyFont="1" applyBorder="1" applyAlignment="1">
      <alignment horizontal="right"/>
    </xf>
    <xf numFmtId="9" fontId="61" fillId="9" borderId="7" xfId="2" applyFont="1" applyFill="1" applyBorder="1" applyAlignment="1">
      <alignment horizontal="right"/>
    </xf>
    <xf numFmtId="164" fontId="61" fillId="9" borderId="0" xfId="1" applyNumberFormat="1" applyFont="1" applyFill="1" applyAlignment="1">
      <alignment horizontal="right"/>
    </xf>
    <xf numFmtId="43" fontId="61" fillId="0" borderId="5" xfId="1" quotePrefix="1" applyFont="1" applyBorder="1" applyAlignment="1">
      <alignment horizontal="right"/>
    </xf>
    <xf numFmtId="165" fontId="61" fillId="10" borderId="5" xfId="1" quotePrefix="1" applyNumberFormat="1" applyFont="1" applyFill="1" applyBorder="1" applyAlignment="1">
      <alignment horizontal="right"/>
    </xf>
    <xf numFmtId="10" fontId="4" fillId="0" borderId="0" xfId="2" applyNumberFormat="1" applyFont="1" applyAlignment="1">
      <alignment horizontal="right"/>
    </xf>
    <xf numFmtId="0" fontId="61" fillId="0" borderId="6" xfId="0" applyFont="1" applyBorder="1" applyAlignment="1">
      <alignment horizontal="left" indent="2"/>
    </xf>
    <xf numFmtId="166" fontId="61" fillId="10" borderId="5" xfId="2" applyNumberFormat="1" applyFont="1" applyFill="1" applyBorder="1" applyAlignment="1">
      <alignment horizontal="right"/>
    </xf>
    <xf numFmtId="164" fontId="62" fillId="0" borderId="5" xfId="1" quotePrefix="1" applyNumberFormat="1" applyFont="1" applyBorder="1" applyAlignment="1">
      <alignment horizontal="right"/>
    </xf>
    <xf numFmtId="166" fontId="62" fillId="0" borderId="5" xfId="2" quotePrefix="1" applyNumberFormat="1" applyFont="1" applyBorder="1" applyAlignment="1">
      <alignment horizontal="right"/>
    </xf>
    <xf numFmtId="164" fontId="62" fillId="0" borderId="5" xfId="2" quotePrefix="1" applyNumberFormat="1" applyFont="1" applyBorder="1" applyAlignment="1">
      <alignment horizontal="right"/>
    </xf>
    <xf numFmtId="166" fontId="62" fillId="10" borderId="5" xfId="2" quotePrefix="1" applyNumberFormat="1" applyFont="1" applyFill="1" applyBorder="1" applyAlignment="1">
      <alignment horizontal="right"/>
    </xf>
    <xf numFmtId="166" fontId="61" fillId="10" borderId="5" xfId="2" quotePrefix="1" applyNumberFormat="1" applyFont="1" applyFill="1" applyBorder="1" applyAlignment="1">
      <alignment horizontal="right"/>
    </xf>
    <xf numFmtId="43" fontId="62" fillId="10" borderId="5" xfId="1" applyFont="1" applyFill="1" applyBorder="1" applyAlignment="1">
      <alignment horizontal="right"/>
    </xf>
    <xf numFmtId="43" fontId="71" fillId="10" borderId="34" xfId="1" applyFont="1" applyFill="1" applyBorder="1" applyAlignment="1">
      <alignment horizontal="right"/>
    </xf>
    <xf numFmtId="43" fontId="4" fillId="0" borderId="0" xfId="1" applyFont="1" applyAlignment="1">
      <alignment horizontal="left"/>
    </xf>
    <xf numFmtId="0" fontId="76" fillId="0" borderId="0" xfId="0" applyFont="1"/>
    <xf numFmtId="0" fontId="4" fillId="0" borderId="0" xfId="0" applyFont="1" applyFill="1"/>
    <xf numFmtId="0" fontId="71" fillId="0" borderId="37" xfId="0" applyFont="1" applyBorder="1" applyAlignment="1">
      <alignment horizontal="left" indent="1"/>
    </xf>
    <xf numFmtId="0" fontId="61" fillId="0" borderId="10" xfId="0" applyFont="1" applyBorder="1" applyAlignment="1">
      <alignment horizontal="left" indent="1"/>
    </xf>
    <xf numFmtId="165" fontId="61" fillId="0" borderId="0" xfId="1" applyNumberFormat="1" applyFont="1" applyFill="1" applyAlignment="1">
      <alignment horizontal="right"/>
    </xf>
    <xf numFmtId="164" fontId="62" fillId="0" borderId="0" xfId="1" applyNumberFormat="1" applyFont="1" applyFill="1" applyAlignment="1">
      <alignment horizontal="right"/>
    </xf>
    <xf numFmtId="164" fontId="63" fillId="0" borderId="0" xfId="1" applyNumberFormat="1" applyFont="1" applyFill="1" applyAlignment="1">
      <alignment horizontal="right"/>
    </xf>
    <xf numFmtId="164" fontId="61" fillId="0" borderId="0" xfId="1" applyNumberFormat="1" applyFont="1" applyFill="1" applyAlignment="1">
      <alignment horizontal="right"/>
    </xf>
    <xf numFmtId="164" fontId="54" fillId="0" borderId="0" xfId="1" applyNumberFormat="1" applyFont="1" applyFill="1" applyAlignment="1">
      <alignment horizontal="right"/>
    </xf>
    <xf numFmtId="164" fontId="74" fillId="0" borderId="31" xfId="1" applyNumberFormat="1" applyFont="1" applyFill="1" applyBorder="1" applyAlignment="1">
      <alignment horizontal="right"/>
    </xf>
    <xf numFmtId="164" fontId="71" fillId="0" borderId="30" xfId="1" applyNumberFormat="1" applyFont="1" applyFill="1" applyBorder="1" applyAlignment="1">
      <alignment horizontal="right"/>
    </xf>
    <xf numFmtId="164" fontId="75" fillId="0" borderId="31" xfId="1" applyNumberFormat="1" applyFont="1" applyFill="1" applyBorder="1" applyAlignment="1">
      <alignment horizontal="right"/>
    </xf>
    <xf numFmtId="43" fontId="62" fillId="0" borderId="0" xfId="1" applyFont="1" applyFill="1" applyAlignment="1">
      <alignment horizontal="right"/>
    </xf>
    <xf numFmtId="43" fontId="71" fillId="0" borderId="36" xfId="1" applyFont="1" applyFill="1" applyBorder="1" applyAlignment="1">
      <alignment horizontal="right"/>
    </xf>
    <xf numFmtId="43" fontId="61" fillId="0" borderId="7" xfId="1" applyFont="1" applyFill="1" applyBorder="1" applyAlignment="1">
      <alignment horizontal="right"/>
    </xf>
    <xf numFmtId="9" fontId="62" fillId="0" borderId="0" xfId="2" applyFont="1" applyFill="1" applyAlignment="1">
      <alignment horizontal="right"/>
    </xf>
    <xf numFmtId="0" fontId="55" fillId="0" borderId="0" xfId="0" applyFont="1" applyFill="1"/>
    <xf numFmtId="43" fontId="69" fillId="0" borderId="0" xfId="1" applyFont="1" applyFill="1"/>
    <xf numFmtId="0" fontId="61" fillId="0" borderId="0" xfId="2" applyNumberFormat="1" applyFont="1" applyAlignment="1">
      <alignment horizontal="right"/>
    </xf>
    <xf numFmtId="165" fontId="63" fillId="0" borderId="0" xfId="1" applyNumberFormat="1" applyFont="1" applyFill="1" applyAlignment="1">
      <alignment horizontal="right"/>
    </xf>
    <xf numFmtId="7" fontId="61" fillId="0" borderId="0" xfId="1" applyNumberFormat="1" applyFont="1" applyFill="1" applyAlignment="1">
      <alignment horizontal="right"/>
    </xf>
    <xf numFmtId="0" fontId="69" fillId="0" borderId="0" xfId="0" applyFont="1" applyFill="1"/>
    <xf numFmtId="164" fontId="61" fillId="0" borderId="5" xfId="1" applyNumberFormat="1" applyFont="1" applyFill="1" applyBorder="1" applyAlignment="1">
      <alignment horizontal="right"/>
    </xf>
    <xf numFmtId="164" fontId="62" fillId="0" borderId="5" xfId="1" applyNumberFormat="1" applyFont="1" applyFill="1" applyBorder="1" applyAlignment="1">
      <alignment horizontal="right"/>
    </xf>
    <xf numFmtId="164" fontId="69" fillId="0" borderId="0" xfId="1" applyNumberFormat="1" applyFont="1" applyFill="1" applyAlignment="1">
      <alignment horizontal="right"/>
    </xf>
    <xf numFmtId="9" fontId="62" fillId="9" borderId="0" xfId="2" applyNumberFormat="1" applyFont="1" applyFill="1" applyAlignment="1">
      <alignment horizontal="right"/>
    </xf>
    <xf numFmtId="166" fontId="62" fillId="9" borderId="0" xfId="2" applyNumberFormat="1" applyFont="1" applyFill="1" applyAlignment="1">
      <alignment horizontal="right"/>
    </xf>
    <xf numFmtId="165" fontId="61" fillId="0" borderId="0" xfId="1" quotePrefix="1" applyNumberFormat="1" applyFont="1" applyFill="1" applyAlignment="1">
      <alignment horizontal="right"/>
    </xf>
    <xf numFmtId="164" fontId="61" fillId="9" borderId="0" xfId="2" applyNumberFormat="1" applyFont="1" applyFill="1" applyAlignment="1">
      <alignment horizontal="right"/>
    </xf>
    <xf numFmtId="43" fontId="71" fillId="0" borderId="36" xfId="1" applyNumberFormat="1" applyFont="1" applyFill="1" applyBorder="1" applyAlignment="1">
      <alignment horizontal="right"/>
    </xf>
    <xf numFmtId="43" fontId="71" fillId="0" borderId="34" xfId="1" applyFont="1" applyFill="1" applyBorder="1" applyAlignment="1">
      <alignment horizontal="right"/>
    </xf>
    <xf numFmtId="166" fontId="69" fillId="0" borderId="3" xfId="2" applyNumberFormat="1" applyFont="1" applyBorder="1" applyAlignment="1">
      <alignment horizontal="right"/>
    </xf>
    <xf numFmtId="166" fontId="69" fillId="0" borderId="0" xfId="2" applyNumberFormat="1" applyFont="1" applyBorder="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12" xfId="0" applyFont="1" applyBorder="1" applyAlignment="1">
      <alignment horizontal="left"/>
    </xf>
    <xf numFmtId="0" fontId="62" fillId="0" borderId="13" xfId="0" applyFont="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4" fillId="0" borderId="3" xfId="0" applyFont="1" applyBorder="1" applyAlignment="1">
      <alignment horizontal="left"/>
    </xf>
    <xf numFmtId="0" fontId="64" fillId="0" borderId="4" xfId="0" applyFont="1" applyBorder="1" applyAlignment="1">
      <alignment horizontal="left"/>
    </xf>
    <xf numFmtId="0" fontId="64" fillId="0" borderId="25" xfId="0" applyFont="1" applyBorder="1" applyAlignment="1">
      <alignment horizontal="left"/>
    </xf>
    <xf numFmtId="0" fontId="64" fillId="0" borderId="26" xfId="0" applyFont="1" applyBorder="1" applyAlignment="1">
      <alignment horizontal="left"/>
    </xf>
    <xf numFmtId="0" fontId="62" fillId="0" borderId="12" xfId="0" applyFont="1" applyBorder="1" applyAlignment="1">
      <alignment horizontal="left" indent="2"/>
    </xf>
    <xf numFmtId="0" fontId="62" fillId="0" borderId="13" xfId="0" applyFont="1" applyBorder="1" applyAlignment="1">
      <alignment horizontal="left" indent="2"/>
    </xf>
    <xf numFmtId="0" fontId="61" fillId="0" borderId="3" xfId="0" applyFont="1" applyBorder="1" applyAlignment="1">
      <alignment horizontal="left" indent="6"/>
    </xf>
    <xf numFmtId="0" fontId="61" fillId="0" borderId="4" xfId="0" applyFont="1" applyBorder="1" applyAlignment="1">
      <alignment horizontal="left" indent="6"/>
    </xf>
    <xf numFmtId="0" fontId="62" fillId="0" borderId="25" xfId="0" applyFont="1" applyBorder="1" applyAlignment="1">
      <alignment horizontal="left" indent="1"/>
    </xf>
    <xf numFmtId="0" fontId="62" fillId="0" borderId="26" xfId="0" applyFont="1" applyBorder="1" applyAlignment="1">
      <alignment horizontal="left" indent="1"/>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9" borderId="1" xfId="0" applyFont="1" applyFill="1" applyBorder="1" applyAlignment="1">
      <alignment horizontal="left"/>
    </xf>
    <xf numFmtId="0" fontId="61" fillId="9" borderId="11" xfId="0" applyFont="1" applyFill="1" applyBorder="1" applyAlignment="1">
      <alignment horizontal="left"/>
    </xf>
    <xf numFmtId="0" fontId="61" fillId="10" borderId="6" xfId="0" applyFont="1" applyFill="1" applyBorder="1" applyAlignment="1">
      <alignment horizontal="left"/>
    </xf>
    <xf numFmtId="0" fontId="61" fillId="10" borderId="10" xfId="0" applyFont="1" applyFill="1" applyBorder="1" applyAlignment="1">
      <alignment horizontal="left"/>
    </xf>
    <xf numFmtId="0" fontId="61" fillId="0" borderId="6" xfId="0" applyFont="1" applyFill="1" applyBorder="1" applyAlignment="1">
      <alignment horizontal="left"/>
    </xf>
    <xf numFmtId="0" fontId="61" fillId="0" borderId="10" xfId="0" applyFont="1" applyFill="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3"/>
    </xf>
    <xf numFmtId="0" fontId="62" fillId="0" borderId="3" xfId="0" applyFont="1" applyBorder="1" applyAlignment="1">
      <alignment horizontal="left"/>
    </xf>
    <xf numFmtId="0" fontId="62" fillId="0" borderId="4" xfId="0" applyFont="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00000000-0005-0000-0000-0000EE000000}"/>
    <cellStyle name="Normal 141" xfId="330" xr:uid="{00000000-0005-0000-0000-0000EF000000}"/>
    <cellStyle name="Normal 2" xfId="3" xr:uid="{00000000-0005-0000-0000-0000F0000000}"/>
    <cellStyle name="Normal 2 2" xfId="240" xr:uid="{00000000-0005-0000-0000-0000F1000000}"/>
    <cellStyle name="Normal 2 2 2" xfId="241" xr:uid="{00000000-0005-0000-0000-0000F2000000}"/>
    <cellStyle name="Normal 2 3" xfId="242" xr:uid="{00000000-0005-0000-0000-0000F3000000}"/>
    <cellStyle name="Normal 2 3 2" xfId="243" xr:uid="{00000000-0005-0000-0000-0000F4000000}"/>
    <cellStyle name="Normal 2 4" xfId="244" xr:uid="{00000000-0005-0000-0000-0000F5000000}"/>
    <cellStyle name="Normal 2 5" xfId="245" xr:uid="{00000000-0005-0000-0000-0000F6000000}"/>
    <cellStyle name="Normal 2 6" xfId="246" xr:uid="{00000000-0005-0000-0000-0000F7000000}"/>
    <cellStyle name="Normal 2 7" xfId="247" xr:uid="{00000000-0005-0000-0000-0000F8000000}"/>
    <cellStyle name="Normal 2 8" xfId="248" xr:uid="{00000000-0005-0000-0000-0000F9000000}"/>
    <cellStyle name="Normal 3" xfId="4" xr:uid="{00000000-0005-0000-0000-0000FA000000}"/>
    <cellStyle name="Normal 3 2" xfId="249" xr:uid="{00000000-0005-0000-0000-0000FB000000}"/>
    <cellStyle name="Normal 3 3" xfId="250" xr:uid="{00000000-0005-0000-0000-0000FC000000}"/>
    <cellStyle name="Normal 3 4" xfId="251" xr:uid="{00000000-0005-0000-0000-0000FD000000}"/>
    <cellStyle name="Normal 4" xfId="252" xr:uid="{00000000-0005-0000-0000-0000FE000000}"/>
    <cellStyle name="Normal 5" xfId="253" xr:uid="{00000000-0005-0000-0000-0000FF000000}"/>
    <cellStyle name="Normal 5 2" xfId="254" xr:uid="{00000000-0005-0000-0000-000000010000}"/>
    <cellStyle name="Normal 6" xfId="255" xr:uid="{00000000-0005-0000-0000-000001010000}"/>
    <cellStyle name="Normal 6 2" xfId="256" xr:uid="{00000000-0005-0000-0000-000002010000}"/>
    <cellStyle name="Normal 6 3" xfId="257" xr:uid="{00000000-0005-0000-0000-000003010000}"/>
    <cellStyle name="Normal 7" xfId="258" xr:uid="{00000000-0005-0000-0000-000004010000}"/>
    <cellStyle name="Normal 7 2" xfId="259" xr:uid="{00000000-0005-0000-0000-000005010000}"/>
    <cellStyle name="Normal 8" xfId="260" xr:uid="{00000000-0005-0000-0000-000006010000}"/>
    <cellStyle name="Normal 8 2" xfId="261" xr:uid="{00000000-0005-0000-0000-000007010000}"/>
    <cellStyle name="Normal 8 3" xfId="262" xr:uid="{00000000-0005-0000-0000-000008010000}"/>
    <cellStyle name="Normal 9" xfId="263" xr:uid="{00000000-0005-0000-0000-000009010000}"/>
    <cellStyle name="Number0DecimalStyle" xfId="264" xr:uid="{00000000-0005-0000-0000-00000A010000}"/>
    <cellStyle name="Number0DecimalStyle 2" xfId="265" xr:uid="{00000000-0005-0000-0000-00000B010000}"/>
    <cellStyle name="Number10DecimalStyle" xfId="266" xr:uid="{00000000-0005-0000-0000-00000C010000}"/>
    <cellStyle name="Number1DecimalStyle" xfId="267" xr:uid="{00000000-0005-0000-0000-00000D010000}"/>
    <cellStyle name="Number2DecimalStyle" xfId="268" xr:uid="{00000000-0005-0000-0000-00000E010000}"/>
    <cellStyle name="Number2DecimalStyle 2" xfId="269" xr:uid="{00000000-0005-0000-0000-00000F010000}"/>
    <cellStyle name="Number3DecimalStyle" xfId="270" xr:uid="{00000000-0005-0000-0000-000010010000}"/>
    <cellStyle name="Number4DecimalStyle" xfId="271" xr:uid="{00000000-0005-0000-0000-000011010000}"/>
    <cellStyle name="Number5DecimalStyle" xfId="272" xr:uid="{00000000-0005-0000-0000-000012010000}"/>
    <cellStyle name="Number6DecimalStyle" xfId="273" xr:uid="{00000000-0005-0000-0000-000013010000}"/>
    <cellStyle name="Number7DecimalStyle" xfId="274" xr:uid="{00000000-0005-0000-0000-000014010000}"/>
    <cellStyle name="Number8DecimalStyle" xfId="275" xr:uid="{00000000-0005-0000-0000-000015010000}"/>
    <cellStyle name="Number9DecimalStyle" xfId="276" xr:uid="{00000000-0005-0000-0000-000016010000}"/>
    <cellStyle name="over" xfId="277" xr:uid="{00000000-0005-0000-0000-000017010000}"/>
    <cellStyle name="Percent" xfId="2" builtinId="5"/>
    <cellStyle name="percent (0)" xfId="278" xr:uid="{00000000-0005-0000-0000-000019010000}"/>
    <cellStyle name="Percent [0]" xfId="279" xr:uid="{00000000-0005-0000-0000-00001A010000}"/>
    <cellStyle name="Percent [0] 2" xfId="280" xr:uid="{00000000-0005-0000-0000-00001B010000}"/>
    <cellStyle name="Percent [00]" xfId="281" xr:uid="{00000000-0005-0000-0000-00001C010000}"/>
    <cellStyle name="Percent [00] 2" xfId="282" xr:uid="{00000000-0005-0000-0000-00001D010000}"/>
    <cellStyle name="Percent [2]" xfId="283" xr:uid="{00000000-0005-0000-0000-00001E010000}"/>
    <cellStyle name="Percent 10" xfId="284" xr:uid="{00000000-0005-0000-0000-00001F010000}"/>
    <cellStyle name="Percent 2" xfId="285" xr:uid="{00000000-0005-0000-0000-000020010000}"/>
    <cellStyle name="Percent 2 2" xfId="286" xr:uid="{00000000-0005-0000-0000-000021010000}"/>
    <cellStyle name="Percent 2 3" xfId="287" xr:uid="{00000000-0005-0000-0000-000022010000}"/>
    <cellStyle name="Percent 2 4" xfId="288" xr:uid="{00000000-0005-0000-0000-000023010000}"/>
    <cellStyle name="Percent 3" xfId="289" xr:uid="{00000000-0005-0000-0000-000024010000}"/>
    <cellStyle name="Percent 3 2" xfId="290" xr:uid="{00000000-0005-0000-0000-000025010000}"/>
    <cellStyle name="Percent 4" xfId="291" xr:uid="{00000000-0005-0000-0000-000026010000}"/>
    <cellStyle name="Percent 6" xfId="292" xr:uid="{00000000-0005-0000-0000-000027010000}"/>
    <cellStyle name="PERCENTAGE" xfId="293" xr:uid="{00000000-0005-0000-0000-000028010000}"/>
    <cellStyle name="posit" xfId="294" xr:uid="{00000000-0005-0000-0000-000029010000}"/>
    <cellStyle name="Powerpoint Style" xfId="295" xr:uid="{00000000-0005-0000-0000-00002A010000}"/>
    <cellStyle name="PrePop Currency (0)" xfId="296" xr:uid="{00000000-0005-0000-0000-00002B010000}"/>
    <cellStyle name="PrePop Currency (0) 2" xfId="297" xr:uid="{00000000-0005-0000-0000-00002C010000}"/>
    <cellStyle name="PrePop Currency (2)" xfId="298" xr:uid="{00000000-0005-0000-0000-00002D010000}"/>
    <cellStyle name="PrePop Currency (2) 2" xfId="299" xr:uid="{00000000-0005-0000-0000-00002E010000}"/>
    <cellStyle name="PrePop Units (0)" xfId="300" xr:uid="{00000000-0005-0000-0000-00002F010000}"/>
    <cellStyle name="PrePop Units (0) 2" xfId="301" xr:uid="{00000000-0005-0000-0000-000030010000}"/>
    <cellStyle name="PrePop Units (1)" xfId="302" xr:uid="{00000000-0005-0000-0000-000031010000}"/>
    <cellStyle name="PrePop Units (1) 2" xfId="303" xr:uid="{00000000-0005-0000-0000-000032010000}"/>
    <cellStyle name="PrePop Units (2)" xfId="304" xr:uid="{00000000-0005-0000-0000-000033010000}"/>
    <cellStyle name="PrePop Units (2) 2" xfId="305" xr:uid="{00000000-0005-0000-0000-000034010000}"/>
    <cellStyle name="SingleTopDoubleBott" xfId="306" xr:uid="{00000000-0005-0000-0000-000035010000}"/>
    <cellStyle name="Standard_A" xfId="307" xr:uid="{00000000-0005-0000-0000-000036010000}"/>
    <cellStyle name="Style 1" xfId="308" xr:uid="{00000000-0005-0000-0000-000037010000}"/>
    <cellStyle name="Style 2" xfId="309" xr:uid="{00000000-0005-0000-0000-000038010000}"/>
    <cellStyle name="Style 3" xfId="310" xr:uid="{00000000-0005-0000-0000-000039010000}"/>
    <cellStyle name="Style 4" xfId="311" xr:uid="{00000000-0005-0000-0000-00003A010000}"/>
    <cellStyle name="Text Indent A" xfId="312" xr:uid="{00000000-0005-0000-0000-00003B010000}"/>
    <cellStyle name="Text Indent B" xfId="313" xr:uid="{00000000-0005-0000-0000-00003C010000}"/>
    <cellStyle name="Text Indent B 2" xfId="314" xr:uid="{00000000-0005-0000-0000-00003D010000}"/>
    <cellStyle name="Text Indent C" xfId="315" xr:uid="{00000000-0005-0000-0000-00003E010000}"/>
    <cellStyle name="Text Indent C 2" xfId="316" xr:uid="{00000000-0005-0000-0000-00003F010000}"/>
    <cellStyle name="TextStyle" xfId="317" xr:uid="{00000000-0005-0000-0000-000040010000}"/>
    <cellStyle name="Tickmark" xfId="318" xr:uid="{00000000-0005-0000-0000-000041010000}"/>
    <cellStyle name="TimStyle" xfId="319" xr:uid="{00000000-0005-0000-0000-000042010000}"/>
    <cellStyle name="Total 2" xfId="320" xr:uid="{00000000-0005-0000-0000-000043010000}"/>
    <cellStyle name="Total 3" xfId="321" xr:uid="{00000000-0005-0000-0000-000044010000}"/>
    <cellStyle name="Total 4" xfId="322" xr:uid="{00000000-0005-0000-0000-000045010000}"/>
    <cellStyle name="Underline" xfId="323" xr:uid="{00000000-0005-0000-0000-000046010000}"/>
    <cellStyle name="UnderlineDouble" xfId="324" xr:uid="{00000000-0005-0000-0000-000047010000}"/>
    <cellStyle name="Währung [0]_RESULTS" xfId="325" xr:uid="{00000000-0005-0000-0000-000048010000}"/>
    <cellStyle name="Währung_RESULTS" xfId="326" xr:uid="{00000000-0005-0000-0000-000049010000}"/>
    <cellStyle name="표준_BINV" xfId="327" xr:uid="{00000000-0005-0000-0000-00004A010000}"/>
    <cellStyle name="標準_99B-05PE_IC2" xfId="328" xr:uid="{00000000-0005-0000-0000-00004B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943962528"/>
        <c:axId val="-965816400"/>
      </c:lineChart>
      <c:catAx>
        <c:axId val="-9439625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965816400"/>
        <c:crosses val="autoZero"/>
        <c:auto val="1"/>
        <c:lblAlgn val="ctr"/>
        <c:lblOffset val="100"/>
        <c:tickLblSkip val="7"/>
        <c:noMultiLvlLbl val="1"/>
      </c:catAx>
      <c:valAx>
        <c:axId val="-965816400"/>
        <c:scaling>
          <c:orientation val="minMax"/>
        </c:scaling>
        <c:delete val="0"/>
        <c:axPos val="l"/>
        <c:majorGridlines/>
        <c:numFmt formatCode="0.0\x" sourceLinked="0"/>
        <c:majorTickMark val="out"/>
        <c:minorTickMark val="none"/>
        <c:tickLblPos val="nextTo"/>
        <c:crossAx val="-9439625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
          <c:y val="6.0114217012323399E-3"/>
        </c:manualLayout>
      </c:layout>
      <c:overlay val="1"/>
    </c:title>
    <c:autoTitleDeleted val="0"/>
    <c:plotArea>
      <c:layout>
        <c:manualLayout>
          <c:layoutTarget val="inner"/>
          <c:xMode val="edge"/>
          <c:yMode val="edge"/>
          <c:x val="7.5259906105276497E-2"/>
          <c:y val="9.884433967846E-2"/>
          <c:w val="0.78454722918835496"/>
          <c:h val="0.62550120820109401"/>
        </c:manualLayout>
      </c:layout>
      <c:barChart>
        <c:barDir val="col"/>
        <c:grouping val="clustered"/>
        <c:varyColors val="0"/>
        <c:ser>
          <c:idx val="0"/>
          <c:order val="0"/>
          <c:tx>
            <c:strRef>
              <c:f>'Earnings Model'!$B$49:$C$49</c:f>
              <c:strCache>
                <c:ptCount val="2"/>
                <c:pt idx="0">
                  <c:v>Americas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Model'!$P$49,'Earnings Model'!$Q$49,'Earnings Model'!$S$49,'Earnings Model'!$T$49,'Earnings Model'!$U$49,'Earnings Model'!$V$49,'Earnings Model'!$X$49,'Earnings Model'!$Y$49)</c:f>
              <c:numCache>
                <c:formatCode>_(* #,##0_);_(* \(#,##0\);_(* "-"??_);_(@_)</c:formatCode>
                <c:ptCount val="8"/>
                <c:pt idx="0">
                  <c:v>9590</c:v>
                </c:pt>
                <c:pt idx="1">
                  <c:v>9684</c:v>
                </c:pt>
                <c:pt idx="2">
                  <c:v>9768</c:v>
                </c:pt>
                <c:pt idx="3">
                  <c:v>9767</c:v>
                </c:pt>
                <c:pt idx="4">
                  <c:v>9857</c:v>
                </c:pt>
                <c:pt idx="5">
                  <c:v>9922</c:v>
                </c:pt>
                <c:pt idx="6">
                  <c:v>9981.5</c:v>
                </c:pt>
                <c:pt idx="7">
                  <c:v>10034.875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967894752"/>
        <c:axId val="-947362272"/>
      </c:barChart>
      <c:lineChart>
        <c:grouping val="standard"/>
        <c:varyColors val="0"/>
        <c:ser>
          <c:idx val="1"/>
          <c:order val="1"/>
          <c:tx>
            <c:strRef>
              <c:f>'Earnings Model'!$B$78</c:f>
              <c:strCache>
                <c:ptCount val="1"/>
                <c:pt idx="0">
                  <c:v>Americas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Model'!$P$78,'Earnings Model'!$Q$78,'Earnings Model'!$S$78,'Earnings Model'!$T$78,'Earnings Model'!$U$78,'Earnings Model'!$V$78,'Earnings Model'!$X$78,'Earnings Model'!$Y$78)</c:f>
              <c:numCache>
                <c:formatCode>0.0%</c:formatCode>
                <c:ptCount val="8"/>
                <c:pt idx="0">
                  <c:v>0.21467803030303034</c:v>
                </c:pt>
                <c:pt idx="1">
                  <c:v>0.21825490103897316</c:v>
                </c:pt>
                <c:pt idx="2">
                  <c:v>0.21960486322188449</c:v>
                </c:pt>
                <c:pt idx="3">
                  <c:v>0.20878329733621312</c:v>
                </c:pt>
                <c:pt idx="4">
                  <c:v>0.21973376735715114</c:v>
                </c:pt>
                <c:pt idx="5">
                  <c:v>0.22081928075585741</c:v>
                </c:pt>
                <c:pt idx="6">
                  <c:v>0.22430948971890427</c:v>
                </c:pt>
                <c:pt idx="7">
                  <c:v>0.21512190540281156</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947282240"/>
        <c:axId val="-947215376"/>
      </c:lineChart>
      <c:catAx>
        <c:axId val="-967894752"/>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947362272"/>
        <c:crosses val="autoZero"/>
        <c:auto val="1"/>
        <c:lblAlgn val="ctr"/>
        <c:lblOffset val="100"/>
        <c:noMultiLvlLbl val="0"/>
      </c:catAx>
      <c:valAx>
        <c:axId val="-947362272"/>
        <c:scaling>
          <c:orientation val="minMax"/>
        </c:scaling>
        <c:delete val="0"/>
        <c:axPos val="l"/>
        <c:majorGridlines>
          <c:spPr>
            <a:ln>
              <a:prstDash val="dash"/>
            </a:ln>
          </c:spPr>
        </c:majorGridlines>
        <c:numFmt formatCode="#,##0" sourceLinked="0"/>
        <c:majorTickMark val="out"/>
        <c:minorTickMark val="none"/>
        <c:tickLblPos val="nextTo"/>
        <c:spPr>
          <a:ln>
            <a:noFill/>
          </a:ln>
        </c:spPr>
        <c:crossAx val="-967894752"/>
        <c:crosses val="autoZero"/>
        <c:crossBetween val="between"/>
      </c:valAx>
      <c:valAx>
        <c:axId val="-947215376"/>
        <c:scaling>
          <c:orientation val="minMax"/>
        </c:scaling>
        <c:delete val="0"/>
        <c:axPos val="r"/>
        <c:numFmt formatCode="0%" sourceLinked="0"/>
        <c:majorTickMark val="out"/>
        <c:minorTickMark val="none"/>
        <c:tickLblPos val="nextTo"/>
        <c:crossAx val="-947282240"/>
        <c:crosses val="max"/>
        <c:crossBetween val="between"/>
      </c:valAx>
      <c:catAx>
        <c:axId val="-947282240"/>
        <c:scaling>
          <c:orientation val="minMax"/>
        </c:scaling>
        <c:delete val="1"/>
        <c:axPos val="b"/>
        <c:numFmt formatCode="General" sourceLinked="1"/>
        <c:majorTickMark val="out"/>
        <c:minorTickMark val="none"/>
        <c:tickLblPos val="nextTo"/>
        <c:crossAx val="-947215376"/>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099E-3"/>
          <c:y val="0.82587988043424199"/>
          <c:w val="0.99567776198227798"/>
          <c:h val="0.15834984107599701"/>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CAP Segment Metrics</a:t>
            </a:r>
          </a:p>
        </c:rich>
      </c:tx>
      <c:layout>
        <c:manualLayout>
          <c:xMode val="edge"/>
          <c:yMode val="edge"/>
          <c:x val="0.34220442977836402"/>
          <c:y val="6.0114217012323399E-3"/>
        </c:manualLayout>
      </c:layout>
      <c:overlay val="1"/>
    </c:title>
    <c:autoTitleDeleted val="0"/>
    <c:plotArea>
      <c:layout>
        <c:manualLayout>
          <c:layoutTarget val="inner"/>
          <c:xMode val="edge"/>
          <c:yMode val="edge"/>
          <c:x val="7.5259906105276497E-2"/>
          <c:y val="9.884433967846E-2"/>
          <c:w val="0.78454722918835496"/>
          <c:h val="0.62550120820109401"/>
        </c:manualLayout>
      </c:layout>
      <c:barChart>
        <c:barDir val="col"/>
        <c:grouping val="clustered"/>
        <c:varyColors val="0"/>
        <c:ser>
          <c:idx val="0"/>
          <c:order val="0"/>
          <c:tx>
            <c:strRef>
              <c:f>'Earnings Model'!$B$82:$C$82</c:f>
              <c:strCache>
                <c:ptCount val="2"/>
                <c:pt idx="0">
                  <c:v>CAP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9C8F-4CA9-B767-4DD323AB738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9C8F-4CA9-B767-4DD323AB738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9C8F-4CA9-B767-4DD323AB738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9C8F-4CA9-B767-4DD323AB738C}"/>
              </c:ext>
            </c:extLst>
          </c:dPt>
          <c:dPt>
            <c:idx val="9"/>
            <c:invertIfNegative val="0"/>
            <c:bubble3D val="0"/>
            <c:extLst>
              <c:ext xmlns:c16="http://schemas.microsoft.com/office/drawing/2014/chart" uri="{C3380CC4-5D6E-409C-BE32-E72D297353CC}">
                <c16:uniqueId val="{00000008-9C8F-4CA9-B767-4DD323AB738C}"/>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Model'!$P$82,'Earnings Model'!$Q$82,'Earnings Model'!$S$82,'Earnings Model'!$T$82,'Earnings Model'!$U$82,'Earnings Model'!$V$82,'Earnings Model'!$X$82,'Earnings Model'!$Y$82)</c:f>
              <c:numCache>
                <c:formatCode>_(* #,##0_);_(* \(#,##0\);_(* "-"??_);_(@_)</c:formatCode>
                <c:ptCount val="8"/>
                <c:pt idx="0">
                  <c:v>4979</c:v>
                </c:pt>
                <c:pt idx="1">
                  <c:v>5159</c:v>
                </c:pt>
                <c:pt idx="2">
                  <c:v>5350</c:v>
                </c:pt>
                <c:pt idx="3">
                  <c:v>5483</c:v>
                </c:pt>
                <c:pt idx="4">
                  <c:v>5708</c:v>
                </c:pt>
                <c:pt idx="5">
                  <c:v>5948</c:v>
                </c:pt>
                <c:pt idx="6">
                  <c:v>6145.25</c:v>
                </c:pt>
                <c:pt idx="7">
                  <c:v>6344.0625</c:v>
                </c:pt>
              </c:numCache>
            </c:numRef>
          </c:val>
          <c:extLst>
            <c:ext xmlns:c16="http://schemas.microsoft.com/office/drawing/2014/chart" uri="{C3380CC4-5D6E-409C-BE32-E72D297353CC}">
              <c16:uniqueId val="{00000009-9C8F-4CA9-B767-4DD323AB738C}"/>
            </c:ext>
          </c:extLst>
        </c:ser>
        <c:dLbls>
          <c:showLegendKey val="0"/>
          <c:showVal val="0"/>
          <c:showCatName val="0"/>
          <c:showSerName val="0"/>
          <c:showPercent val="0"/>
          <c:showBubbleSize val="0"/>
        </c:dLbls>
        <c:gapWidth val="150"/>
        <c:axId val="-965883920"/>
        <c:axId val="-965881872"/>
      </c:barChart>
      <c:lineChart>
        <c:grouping val="standard"/>
        <c:varyColors val="0"/>
        <c:ser>
          <c:idx val="1"/>
          <c:order val="1"/>
          <c:tx>
            <c:strRef>
              <c:f>'Earnings Model'!$B$112</c:f>
              <c:strCache>
                <c:ptCount val="1"/>
                <c:pt idx="0">
                  <c:v>CAP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9C8F-4CA9-B767-4DD323AB738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9C8F-4CA9-B767-4DD323AB738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9C8F-4CA9-B767-4DD323AB738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9C8F-4CA9-B767-4DD323AB738C}"/>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Model'!$P$112,'Earnings Model'!$Q$112,'Earnings Model'!$S$112,'Earnings Model'!$T$112,'Earnings Model'!$U$112,'Earnings Model'!$V$112,'Earnings Model'!$X$112,'Earnings Model'!$Y$112)</c:f>
              <c:numCache>
                <c:formatCode>0.0%</c:formatCode>
                <c:ptCount val="8"/>
                <c:pt idx="0">
                  <c:v>0.19048006509357202</c:v>
                </c:pt>
                <c:pt idx="1">
                  <c:v>0.19117404906965252</c:v>
                </c:pt>
                <c:pt idx="2">
                  <c:v>0.18047747087101762</c:v>
                </c:pt>
                <c:pt idx="3">
                  <c:v>0.17973780156698466</c:v>
                </c:pt>
                <c:pt idx="4">
                  <c:v>0.20095128683348995</c:v>
                </c:pt>
                <c:pt idx="5">
                  <c:v>0.19963422271102355</c:v>
                </c:pt>
                <c:pt idx="6">
                  <c:v>0.18913260717746855</c:v>
                </c:pt>
                <c:pt idx="7">
                  <c:v>0.17965959747128937</c:v>
                </c:pt>
              </c:numCache>
            </c:numRef>
          </c:val>
          <c:smooth val="0"/>
          <c:extLst>
            <c:ext xmlns:c16="http://schemas.microsoft.com/office/drawing/2014/chart" uri="{C3380CC4-5D6E-409C-BE32-E72D297353CC}">
              <c16:uniqueId val="{00000012-9C8F-4CA9-B767-4DD323AB738C}"/>
            </c:ext>
          </c:extLst>
        </c:ser>
        <c:dLbls>
          <c:showLegendKey val="0"/>
          <c:showVal val="0"/>
          <c:showCatName val="0"/>
          <c:showSerName val="0"/>
          <c:showPercent val="0"/>
          <c:showBubbleSize val="0"/>
        </c:dLbls>
        <c:marker val="1"/>
        <c:smooth val="0"/>
        <c:axId val="-965876720"/>
        <c:axId val="-965879040"/>
      </c:lineChart>
      <c:catAx>
        <c:axId val="-965883920"/>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965881872"/>
        <c:crosses val="autoZero"/>
        <c:auto val="1"/>
        <c:lblAlgn val="ctr"/>
        <c:lblOffset val="100"/>
        <c:noMultiLvlLbl val="0"/>
      </c:catAx>
      <c:valAx>
        <c:axId val="-965881872"/>
        <c:scaling>
          <c:orientation val="minMax"/>
        </c:scaling>
        <c:delete val="0"/>
        <c:axPos val="l"/>
        <c:majorGridlines>
          <c:spPr>
            <a:ln>
              <a:prstDash val="dash"/>
            </a:ln>
          </c:spPr>
        </c:majorGridlines>
        <c:numFmt formatCode="#,##0" sourceLinked="0"/>
        <c:majorTickMark val="out"/>
        <c:minorTickMark val="none"/>
        <c:tickLblPos val="nextTo"/>
        <c:spPr>
          <a:ln>
            <a:noFill/>
          </a:ln>
        </c:spPr>
        <c:crossAx val="-965883920"/>
        <c:crosses val="autoZero"/>
        <c:crossBetween val="between"/>
      </c:valAx>
      <c:valAx>
        <c:axId val="-965879040"/>
        <c:scaling>
          <c:orientation val="minMax"/>
        </c:scaling>
        <c:delete val="0"/>
        <c:axPos val="r"/>
        <c:numFmt formatCode="0%" sourceLinked="0"/>
        <c:majorTickMark val="out"/>
        <c:minorTickMark val="none"/>
        <c:tickLblPos val="nextTo"/>
        <c:crossAx val="-965876720"/>
        <c:crosses val="max"/>
        <c:crossBetween val="between"/>
      </c:valAx>
      <c:catAx>
        <c:axId val="-965876720"/>
        <c:scaling>
          <c:orientation val="minMax"/>
        </c:scaling>
        <c:delete val="1"/>
        <c:axPos val="b"/>
        <c:numFmt formatCode="General" sourceLinked="1"/>
        <c:majorTickMark val="out"/>
        <c:minorTickMark val="none"/>
        <c:tickLblPos val="nextTo"/>
        <c:crossAx val="-965879040"/>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78379992852561597"/>
          <c:w val="0.99567776198227798"/>
          <c:h val="0.15834984107599701"/>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46</xdr:row>
      <xdr:rowOff>0</xdr:rowOff>
    </xdr:from>
    <xdr:to>
      <xdr:col>6</xdr:col>
      <xdr:colOff>718343</xdr:colOff>
      <xdr:row>46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13</xdr:row>
      <xdr:rowOff>104775</xdr:rowOff>
    </xdr:from>
    <xdr:to>
      <xdr:col>5</xdr:col>
      <xdr:colOff>205740</xdr:colOff>
      <xdr:row>23</xdr:row>
      <xdr:rowOff>83820</xdr:rowOff>
    </xdr:to>
    <xdr:graphicFrame macro="">
      <xdr:nvGraphicFramePr>
        <xdr:cNvPr id="5" name="Chart 4">
          <a:extLst>
            <a:ext uri="{FF2B5EF4-FFF2-40B4-BE49-F238E27FC236}">
              <a16:creationId xmlns:a16="http://schemas.microsoft.com/office/drawing/2014/main" id="{F36DA274-97EA-4938-BEDA-F7DCF27C2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D214"/>
  <sheetViews>
    <sheetView showGridLines="0" tabSelected="1" workbookViewId="0">
      <pane xSplit="3" ySplit="12" topLeftCell="N103" activePane="bottomRight" state="frozen"/>
      <selection pane="topRight" activeCell="D1" sqref="D1"/>
      <selection pane="bottomLeft" activeCell="A13" sqref="A13"/>
      <selection pane="bottomRight" activeCell="B2" sqref="B2:C2"/>
    </sheetView>
  </sheetViews>
  <sheetFormatPr defaultColWidth="8.85546875" defaultRowHeight="15" outlineLevelRow="1" outlineLevelCol="1" x14ac:dyDescent="0.25"/>
  <cols>
    <col min="1" max="1" width="2.140625" style="4" customWidth="1"/>
    <col min="2" max="2" width="37.85546875" style="4" customWidth="1"/>
    <col min="3" max="3" width="17" style="4" customWidth="1"/>
    <col min="4" max="5" width="11.42578125" style="3" customWidth="1" outlineLevel="1"/>
    <col min="6" max="7" width="11.42578125" style="11" customWidth="1" outlineLevel="1"/>
    <col min="8" max="8" width="11.42578125" style="11" customWidth="1"/>
    <col min="9" max="10" width="11.42578125" style="3" customWidth="1" outlineLevel="1"/>
    <col min="11" max="12" width="11.42578125" style="11" customWidth="1" outlineLevel="1"/>
    <col min="13" max="13" width="11.42578125" style="11" customWidth="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25" width="11.42578125" style="3" customWidth="1" outlineLevel="1"/>
    <col min="26" max="27" width="11.42578125" style="11" customWidth="1" outlineLevel="1"/>
    <col min="28" max="28" width="11.42578125" style="11" customWidth="1"/>
    <col min="29" max="31" width="8.85546875" style="4"/>
    <col min="32" max="32" width="10.42578125" style="4" bestFit="1" customWidth="1"/>
    <col min="33" max="16384" width="8.85546875" style="4"/>
  </cols>
  <sheetData>
    <row r="1" spans="1:56" ht="9" customHeight="1" x14ac:dyDescent="0.25">
      <c r="B1" s="212" t="s">
        <v>14</v>
      </c>
    </row>
    <row r="2" spans="1:56" ht="45" customHeight="1" x14ac:dyDescent="0.25">
      <c r="B2" s="267" t="s">
        <v>13</v>
      </c>
      <c r="C2" s="268"/>
      <c r="K2" s="12"/>
    </row>
    <row r="3" spans="1:56" x14ac:dyDescent="0.25">
      <c r="B3" s="271" t="s">
        <v>186</v>
      </c>
      <c r="C3" s="272"/>
      <c r="D3" s="13"/>
      <c r="G3" s="14"/>
      <c r="H3" s="14"/>
    </row>
    <row r="4" spans="1:56" x14ac:dyDescent="0.25">
      <c r="B4" s="273" t="s">
        <v>181</v>
      </c>
      <c r="C4" s="274"/>
      <c r="D4" s="13"/>
      <c r="G4" s="14"/>
      <c r="H4" s="14"/>
      <c r="BD4" s="4" t="s">
        <v>14</v>
      </c>
    </row>
    <row r="5" spans="1:56" hidden="1" x14ac:dyDescent="0.25">
      <c r="B5" s="275"/>
      <c r="C5" s="276"/>
      <c r="D5" s="211"/>
      <c r="E5" s="13"/>
      <c r="F5" s="13"/>
      <c r="G5" s="14"/>
      <c r="H5" s="14"/>
      <c r="I5" s="14"/>
      <c r="J5" s="14"/>
      <c r="K5" s="14"/>
      <c r="L5" s="14"/>
      <c r="M5" s="13"/>
      <c r="N5" s="13"/>
      <c r="O5" s="13"/>
      <c r="P5" s="13"/>
      <c r="Q5" s="13"/>
      <c r="R5" s="13"/>
      <c r="S5" s="13"/>
      <c r="T5" s="13"/>
      <c r="U5" s="13"/>
      <c r="V5" s="13"/>
      <c r="W5" s="13"/>
      <c r="X5" s="13"/>
      <c r="Y5" s="13"/>
      <c r="Z5" s="13"/>
      <c r="AA5" s="13"/>
      <c r="AB5" s="13"/>
    </row>
    <row r="6" spans="1:56" ht="14.45" hidden="1" customHeight="1" x14ac:dyDescent="0.25">
      <c r="B6" s="85"/>
      <c r="C6" s="86"/>
      <c r="D6" s="13"/>
      <c r="E6" s="13"/>
      <c r="F6" s="13"/>
      <c r="G6" s="14"/>
      <c r="H6" s="14"/>
      <c r="I6" s="13"/>
      <c r="J6" s="13"/>
      <c r="K6" s="13"/>
      <c r="L6" s="13"/>
      <c r="M6" s="15"/>
      <c r="N6" s="13"/>
      <c r="O6" s="13"/>
      <c r="P6" s="13"/>
      <c r="Q6" s="13"/>
      <c r="R6" s="13"/>
      <c r="S6" s="13"/>
      <c r="T6" s="88"/>
      <c r="U6" s="87"/>
      <c r="V6" s="13"/>
      <c r="W6" s="88"/>
      <c r="X6" s="13"/>
      <c r="Y6" s="13"/>
      <c r="Z6" s="13"/>
      <c r="AA6" s="13"/>
      <c r="AB6" s="13"/>
    </row>
    <row r="7" spans="1:56" ht="14.45" hidden="1" customHeight="1" x14ac:dyDescent="0.25">
      <c r="B7" s="68"/>
      <c r="C7" s="80"/>
      <c r="D7" s="13"/>
      <c r="E7" s="13"/>
      <c r="F7" s="13"/>
      <c r="G7" s="13"/>
      <c r="H7" s="42"/>
      <c r="I7" s="42"/>
      <c r="J7" s="42"/>
      <c r="K7" s="42"/>
      <c r="L7" s="42"/>
      <c r="M7" s="42"/>
      <c r="N7" s="42"/>
      <c r="O7" s="42"/>
      <c r="P7" s="42"/>
      <c r="Q7" s="42"/>
      <c r="R7" s="42"/>
      <c r="S7" s="42"/>
      <c r="T7" s="88"/>
      <c r="U7" s="87"/>
      <c r="V7" s="42"/>
      <c r="W7" s="88"/>
      <c r="X7" s="42"/>
      <c r="Y7" s="42"/>
      <c r="Z7" s="42"/>
      <c r="AA7" s="42"/>
      <c r="AB7" s="42"/>
    </row>
    <row r="8" spans="1:56" ht="14.45" hidden="1" customHeight="1" x14ac:dyDescent="0.25">
      <c r="B8" s="68"/>
      <c r="C8" s="82"/>
      <c r="D8" s="13"/>
      <c r="E8" s="13"/>
      <c r="F8" s="16"/>
      <c r="G8" s="13"/>
      <c r="H8" s="42"/>
      <c r="I8" s="42"/>
      <c r="J8" s="42"/>
      <c r="K8" s="42"/>
      <c r="L8" s="42"/>
      <c r="M8" s="42"/>
      <c r="N8" s="42"/>
      <c r="O8" s="81"/>
      <c r="P8" s="42"/>
      <c r="Q8" s="42"/>
      <c r="R8" s="42"/>
      <c r="S8" s="30"/>
      <c r="T8" s="88"/>
      <c r="U8" s="90"/>
      <c r="V8" s="90"/>
      <c r="W8" s="30"/>
      <c r="X8" s="90"/>
      <c r="Y8" s="90"/>
      <c r="Z8" s="47"/>
      <c r="AA8" s="30"/>
      <c r="AB8" s="30"/>
    </row>
    <row r="9" spans="1:56" ht="14.45" hidden="1" customHeight="1" x14ac:dyDescent="0.25">
      <c r="B9" s="83"/>
      <c r="C9" s="84"/>
      <c r="D9" s="13"/>
      <c r="E9" s="13"/>
      <c r="F9" s="16"/>
      <c r="G9" s="13"/>
      <c r="H9" s="47"/>
      <c r="I9" s="47"/>
      <c r="J9" s="47"/>
      <c r="K9" s="47"/>
      <c r="L9" s="47"/>
      <c r="M9" s="47"/>
      <c r="N9" s="47"/>
      <c r="O9" s="47"/>
      <c r="P9" s="47"/>
      <c r="Q9" s="47"/>
      <c r="R9" s="47"/>
      <c r="S9" s="99"/>
      <c r="T9" s="239"/>
      <c r="U9" s="91"/>
      <c r="V9" s="91"/>
      <c r="W9" s="42"/>
      <c r="X9" s="91"/>
      <c r="Y9" s="91"/>
      <c r="Z9" s="42"/>
      <c r="AA9" s="91"/>
      <c r="AB9" s="47"/>
    </row>
    <row r="10" spans="1:56" ht="8.25" customHeight="1" x14ac:dyDescent="0.25">
      <c r="B10" s="212" t="s">
        <v>14</v>
      </c>
      <c r="D10" s="18"/>
      <c r="E10" s="18"/>
      <c r="F10" s="18"/>
      <c r="G10" s="18"/>
      <c r="H10" s="19"/>
      <c r="I10" s="18"/>
      <c r="J10" s="18"/>
      <c r="K10" s="18"/>
      <c r="L10" s="18"/>
      <c r="M10" s="18"/>
      <c r="N10" s="18"/>
      <c r="O10" s="18"/>
      <c r="P10" s="18"/>
      <c r="Q10" s="18"/>
      <c r="R10" s="18"/>
      <c r="S10" s="97"/>
      <c r="T10" s="97"/>
      <c r="U10" s="97"/>
      <c r="V10" s="97"/>
      <c r="W10" s="79"/>
      <c r="X10" s="97"/>
      <c r="Y10" s="18"/>
      <c r="Z10" s="18"/>
      <c r="AA10" s="98"/>
      <c r="AB10" s="13"/>
    </row>
    <row r="11" spans="1:56" ht="15.75" x14ac:dyDescent="0.25">
      <c r="A11" s="281"/>
      <c r="B11" s="245" t="s">
        <v>35</v>
      </c>
      <c r="C11" s="246"/>
      <c r="D11" s="27" t="s">
        <v>42</v>
      </c>
      <c r="E11" s="27" t="s">
        <v>43</v>
      </c>
      <c r="F11" s="27" t="s">
        <v>28</v>
      </c>
      <c r="G11" s="27" t="s">
        <v>29</v>
      </c>
      <c r="H11" s="74" t="s">
        <v>29</v>
      </c>
      <c r="I11" s="27" t="s">
        <v>30</v>
      </c>
      <c r="J11" s="27" t="s">
        <v>36</v>
      </c>
      <c r="K11" s="27" t="s">
        <v>25</v>
      </c>
      <c r="L11" s="27" t="s">
        <v>26</v>
      </c>
      <c r="M11" s="74" t="s">
        <v>26</v>
      </c>
      <c r="N11" s="27" t="s">
        <v>27</v>
      </c>
      <c r="O11" s="27" t="s">
        <v>49</v>
      </c>
      <c r="P11" s="27" t="s">
        <v>22</v>
      </c>
      <c r="Q11" s="27" t="s">
        <v>23</v>
      </c>
      <c r="R11" s="74" t="s">
        <v>23</v>
      </c>
      <c r="S11" s="27" t="s">
        <v>24</v>
      </c>
      <c r="T11" s="27" t="s">
        <v>183</v>
      </c>
      <c r="U11" s="29" t="s">
        <v>56</v>
      </c>
      <c r="V11" s="29" t="s">
        <v>57</v>
      </c>
      <c r="W11" s="76" t="s">
        <v>57</v>
      </c>
      <c r="X11" s="29" t="s">
        <v>58</v>
      </c>
      <c r="Y11" s="29" t="s">
        <v>59</v>
      </c>
      <c r="Z11" s="29" t="s">
        <v>60</v>
      </c>
      <c r="AA11" s="29" t="s">
        <v>61</v>
      </c>
      <c r="AB11" s="76" t="s">
        <v>61</v>
      </c>
    </row>
    <row r="12" spans="1:56" ht="17.45" customHeight="1" x14ac:dyDescent="0.4">
      <c r="A12" s="281"/>
      <c r="B12" s="249" t="s">
        <v>3</v>
      </c>
      <c r="C12" s="250"/>
      <c r="D12" s="28" t="s">
        <v>44</v>
      </c>
      <c r="E12" s="28" t="s">
        <v>45</v>
      </c>
      <c r="F12" s="28" t="s">
        <v>46</v>
      </c>
      <c r="G12" s="28" t="s">
        <v>47</v>
      </c>
      <c r="H12" s="75" t="s">
        <v>48</v>
      </c>
      <c r="I12" s="28" t="s">
        <v>37</v>
      </c>
      <c r="J12" s="28" t="s">
        <v>38</v>
      </c>
      <c r="K12" s="28" t="s">
        <v>39</v>
      </c>
      <c r="L12" s="28" t="s">
        <v>40</v>
      </c>
      <c r="M12" s="75" t="s">
        <v>41</v>
      </c>
      <c r="N12" s="28" t="s">
        <v>50</v>
      </c>
      <c r="O12" s="28" t="s">
        <v>51</v>
      </c>
      <c r="P12" s="28" t="s">
        <v>52</v>
      </c>
      <c r="Q12" s="28" t="s">
        <v>53</v>
      </c>
      <c r="R12" s="75" t="s">
        <v>54</v>
      </c>
      <c r="S12" s="28" t="s">
        <v>55</v>
      </c>
      <c r="T12" s="28" t="s">
        <v>182</v>
      </c>
      <c r="U12" s="26" t="s">
        <v>62</v>
      </c>
      <c r="V12" s="26" t="s">
        <v>63</v>
      </c>
      <c r="W12" s="77" t="s">
        <v>64</v>
      </c>
      <c r="X12" s="26" t="s">
        <v>65</v>
      </c>
      <c r="Y12" s="26" t="s">
        <v>66</v>
      </c>
      <c r="Z12" s="26" t="s">
        <v>67</v>
      </c>
      <c r="AA12" s="26" t="s">
        <v>68</v>
      </c>
      <c r="AB12" s="77" t="s">
        <v>69</v>
      </c>
    </row>
    <row r="13" spans="1:56" outlineLevel="1" x14ac:dyDescent="0.25">
      <c r="B13" s="255" t="s">
        <v>70</v>
      </c>
      <c r="C13" s="256"/>
      <c r="D13" s="104">
        <v>4210.6000000000004</v>
      </c>
      <c r="E13" s="104">
        <v>3944.2</v>
      </c>
      <c r="F13" s="104">
        <v>4181.6000000000004</v>
      </c>
      <c r="G13" s="104">
        <v>4507.8</v>
      </c>
      <c r="H13" s="105">
        <f>SUM(D13:G13)</f>
        <v>16844.2</v>
      </c>
      <c r="I13" s="104">
        <v>4469.3</v>
      </c>
      <c r="J13" s="104">
        <v>4195.3999999999996</v>
      </c>
      <c r="K13" s="104">
        <v>4509</v>
      </c>
      <c r="L13" s="104">
        <v>4477</v>
      </c>
      <c r="M13" s="105">
        <f>SUM(I13:L13)</f>
        <v>17650.7</v>
      </c>
      <c r="N13" s="104">
        <v>4741.8</v>
      </c>
      <c r="O13" s="104">
        <v>4828</v>
      </c>
      <c r="P13" s="104">
        <v>5060.3999999999996</v>
      </c>
      <c r="Q13" s="104">
        <v>5060.1400000000003</v>
      </c>
      <c r="R13" s="105">
        <f>SUM(N13:Q13)</f>
        <v>19690.34</v>
      </c>
      <c r="S13" s="104">
        <v>5370.3</v>
      </c>
      <c r="T13" s="104">
        <v>5159</v>
      </c>
      <c r="U13" s="104">
        <f t="shared" ref="U13:V13" si="0">+U57+U90+U124+U164</f>
        <v>5443.5096206459348</v>
      </c>
      <c r="V13" s="104">
        <f t="shared" si="0"/>
        <v>5471.2264170862682</v>
      </c>
      <c r="W13" s="105">
        <f>SUM(S13:V13)</f>
        <v>21444.036037732203</v>
      </c>
      <c r="X13" s="104">
        <f>+X57+X90+X124+X164</f>
        <v>5735.9994444100248</v>
      </c>
      <c r="Y13" s="104">
        <f>+Y57+Y90+Y124+Y164</f>
        <v>5619.7439013413932</v>
      </c>
      <c r="Z13" s="104">
        <f t="shared" ref="Z13:AA13" si="1">+Z57+Z90+Z124+Z164</f>
        <v>5957.2968462345179</v>
      </c>
      <c r="AA13" s="104">
        <f t="shared" si="1"/>
        <v>6001.3226529926033</v>
      </c>
      <c r="AB13" s="105">
        <f>SUM(X13:AA13)</f>
        <v>23314.362844978539</v>
      </c>
    </row>
    <row r="14" spans="1:56" outlineLevel="1" x14ac:dyDescent="0.25">
      <c r="B14" s="255" t="s">
        <v>71</v>
      </c>
      <c r="C14" s="256"/>
      <c r="D14" s="104">
        <v>540.6</v>
      </c>
      <c r="E14" s="104">
        <v>493.1</v>
      </c>
      <c r="F14" s="104">
        <v>527.20000000000005</v>
      </c>
      <c r="G14" s="104">
        <v>593.20000000000005</v>
      </c>
      <c r="H14" s="105">
        <f t="shared" ref="H14:H15" si="2">SUM(D14:G14)</f>
        <v>2154.1000000000004</v>
      </c>
      <c r="I14" s="104">
        <v>602.4</v>
      </c>
      <c r="J14" s="104">
        <v>546.70000000000005</v>
      </c>
      <c r="K14" s="104">
        <v>588.29999999999995</v>
      </c>
      <c r="L14" s="104">
        <v>617.6</v>
      </c>
      <c r="M14" s="105">
        <f t="shared" ref="M14:M15" si="3">SUM(I14:L14)</f>
        <v>2355</v>
      </c>
      <c r="N14" s="104">
        <v>682.4</v>
      </c>
      <c r="O14" s="104">
        <v>625.6</v>
      </c>
      <c r="P14" s="104">
        <v>660.6</v>
      </c>
      <c r="Q14" s="104">
        <v>683.61</v>
      </c>
      <c r="R14" s="105">
        <f t="shared" ref="R14:R15" si="4">SUM(N14:Q14)</f>
        <v>2652.21</v>
      </c>
      <c r="S14" s="104">
        <v>737.1</v>
      </c>
      <c r="T14" s="104">
        <v>678.2</v>
      </c>
      <c r="U14" s="104">
        <f t="shared" ref="U14:V14" si="5">+U64+U97+U131+U166</f>
        <v>729.8194735466534</v>
      </c>
      <c r="V14" s="104">
        <f t="shared" si="5"/>
        <v>757.09488877978094</v>
      </c>
      <c r="W14" s="105">
        <f t="shared" ref="W14:W15" si="6">SUM(S14:V14)</f>
        <v>2902.2143623264342</v>
      </c>
      <c r="X14" s="104">
        <f>+X64+X97+X131+X166</f>
        <v>813.98970406277454</v>
      </c>
      <c r="Y14" s="104">
        <f>+Y64+Y97+Y131+Y166</f>
        <v>746.08630227963681</v>
      </c>
      <c r="Z14" s="104">
        <f t="shared" ref="Z14:AA14" si="7">+Z64+Z97+Z131+Z166</f>
        <v>797.69924272892274</v>
      </c>
      <c r="AA14" s="104">
        <f t="shared" si="7"/>
        <v>819.53880897745637</v>
      </c>
      <c r="AB14" s="105">
        <f t="shared" ref="AB14:AB15" si="8">SUM(X14:AA14)</f>
        <v>3177.3140580487907</v>
      </c>
    </row>
    <row r="15" spans="1:56" ht="17.25" outlineLevel="1" x14ac:dyDescent="0.4">
      <c r="B15" s="255" t="s">
        <v>33</v>
      </c>
      <c r="C15" s="256"/>
      <c r="D15" s="108">
        <v>622.29999999999995</v>
      </c>
      <c r="E15" s="108">
        <v>555.9</v>
      </c>
      <c r="F15" s="108">
        <v>529.20000000000005</v>
      </c>
      <c r="G15" s="108">
        <v>610.20000000000005</v>
      </c>
      <c r="H15" s="109">
        <f t="shared" si="2"/>
        <v>2317.6</v>
      </c>
      <c r="I15" s="108">
        <v>661.2</v>
      </c>
      <c r="J15" s="108">
        <v>551.9</v>
      </c>
      <c r="K15" s="108">
        <v>564.20000000000005</v>
      </c>
      <c r="L15" s="108">
        <v>603.70000000000005</v>
      </c>
      <c r="M15" s="109">
        <f t="shared" si="3"/>
        <v>2381</v>
      </c>
      <c r="N15" s="108">
        <v>649.5</v>
      </c>
      <c r="O15" s="108">
        <v>578.20000000000005</v>
      </c>
      <c r="P15" s="108">
        <v>589.29999999999995</v>
      </c>
      <c r="Q15" s="108">
        <v>559.9</v>
      </c>
      <c r="R15" s="109">
        <f t="shared" si="4"/>
        <v>2376.9</v>
      </c>
      <c r="S15" s="108">
        <v>525.29999999999995</v>
      </c>
      <c r="T15" s="108">
        <v>468.7</v>
      </c>
      <c r="U15" s="108">
        <f t="shared" ref="U15:V15" si="9">+U65+U98+U132+U149+U168</f>
        <v>532.07189118049439</v>
      </c>
      <c r="V15" s="108">
        <f t="shared" si="9"/>
        <v>535.71579042963913</v>
      </c>
      <c r="W15" s="109">
        <f t="shared" si="6"/>
        <v>2061.7876816101334</v>
      </c>
      <c r="X15" s="108">
        <f>+X65+X98+X132+X149+X168</f>
        <v>554.0254013478675</v>
      </c>
      <c r="Y15" s="108">
        <f>+Y65+Y98+Y132+Y149+Y168</f>
        <v>496.62710420077929</v>
      </c>
      <c r="Z15" s="108">
        <f t="shared" ref="Z15:AA15" si="10">+Z65+Z98+Z132+Z149+Z168</f>
        <v>562.37198649572201</v>
      </c>
      <c r="AA15" s="108">
        <f t="shared" si="10"/>
        <v>566.48979114274346</v>
      </c>
      <c r="AB15" s="109">
        <f t="shared" si="8"/>
        <v>2179.5142831871121</v>
      </c>
      <c r="AC15" s="113"/>
    </row>
    <row r="16" spans="1:56" s="22" customFormat="1" x14ac:dyDescent="0.25">
      <c r="B16" s="279" t="s">
        <v>72</v>
      </c>
      <c r="C16" s="280"/>
      <c r="D16" s="106">
        <f>SUM(D13:D15)</f>
        <v>5373.5000000000009</v>
      </c>
      <c r="E16" s="106">
        <f t="shared" ref="E16:AB16" si="11">SUM(E13:E15)</f>
        <v>4993.2</v>
      </c>
      <c r="F16" s="106">
        <f t="shared" si="11"/>
        <v>5238</v>
      </c>
      <c r="G16" s="106">
        <f t="shared" si="11"/>
        <v>5711.2</v>
      </c>
      <c r="H16" s="107">
        <f t="shared" si="11"/>
        <v>21315.9</v>
      </c>
      <c r="I16" s="106">
        <f t="shared" si="11"/>
        <v>5732.9</v>
      </c>
      <c r="J16" s="106">
        <f t="shared" si="11"/>
        <v>5293.9999999999991</v>
      </c>
      <c r="K16" s="106">
        <f t="shared" si="11"/>
        <v>5661.5</v>
      </c>
      <c r="L16" s="106">
        <f t="shared" si="11"/>
        <v>5698.3</v>
      </c>
      <c r="M16" s="107">
        <f t="shared" si="11"/>
        <v>22386.7</v>
      </c>
      <c r="N16" s="106">
        <f t="shared" si="11"/>
        <v>6073.7</v>
      </c>
      <c r="O16" s="106">
        <f t="shared" si="11"/>
        <v>6031.8</v>
      </c>
      <c r="P16" s="106">
        <f t="shared" si="11"/>
        <v>6310.3</v>
      </c>
      <c r="Q16" s="106">
        <f t="shared" si="11"/>
        <v>6303.65</v>
      </c>
      <c r="R16" s="107">
        <f t="shared" si="11"/>
        <v>24719.45</v>
      </c>
      <c r="S16" s="106">
        <f t="shared" si="11"/>
        <v>6632.7000000000007</v>
      </c>
      <c r="T16" s="217">
        <f t="shared" si="11"/>
        <v>6305.9</v>
      </c>
      <c r="U16" s="217">
        <f t="shared" si="11"/>
        <v>6705.4009853730822</v>
      </c>
      <c r="V16" s="217">
        <f t="shared" si="11"/>
        <v>6764.0370962956886</v>
      </c>
      <c r="W16" s="235">
        <f t="shared" si="11"/>
        <v>26408.038081668772</v>
      </c>
      <c r="X16" s="217">
        <f t="shared" si="11"/>
        <v>7104.0145498206675</v>
      </c>
      <c r="Y16" s="217">
        <f t="shared" si="11"/>
        <v>6862.4573078218091</v>
      </c>
      <c r="Z16" s="217">
        <f t="shared" si="11"/>
        <v>7317.3680754591624</v>
      </c>
      <c r="AA16" s="217">
        <f t="shared" si="11"/>
        <v>7387.3512531128026</v>
      </c>
      <c r="AB16" s="235">
        <f t="shared" si="11"/>
        <v>28671.191186214441</v>
      </c>
    </row>
    <row r="17" spans="2:28" ht="17.25" outlineLevel="1" x14ac:dyDescent="0.4">
      <c r="B17" s="255" t="s">
        <v>73</v>
      </c>
      <c r="C17" s="256"/>
      <c r="D17" s="108">
        <v>2186.1999999999998</v>
      </c>
      <c r="E17" s="108">
        <v>2010.3</v>
      </c>
      <c r="F17" s="108">
        <v>2060.3000000000002</v>
      </c>
      <c r="G17" s="108">
        <f>8509-6256.8</f>
        <v>2252.1999999999998</v>
      </c>
      <c r="H17" s="109">
        <f>SUM(D17:G17)</f>
        <v>8509</v>
      </c>
      <c r="I17" s="108">
        <v>2294</v>
      </c>
      <c r="J17" s="108">
        <v>2140.1999999999998</v>
      </c>
      <c r="K17" s="108">
        <v>2248</v>
      </c>
      <c r="L17" s="108">
        <v>2352.1</v>
      </c>
      <c r="M17" s="109">
        <f>SUM(I17:L17)</f>
        <v>9034.2999999999993</v>
      </c>
      <c r="N17" s="108">
        <v>2501.6999999999998</v>
      </c>
      <c r="O17" s="108">
        <v>2514.6999999999998</v>
      </c>
      <c r="P17" s="108">
        <v>2553.4</v>
      </c>
      <c r="Q17" s="108">
        <v>2604.6</v>
      </c>
      <c r="R17" s="109">
        <f>SUM(N17:Q17)</f>
        <v>10174.4</v>
      </c>
      <c r="S17" s="108">
        <v>2758.7</v>
      </c>
      <c r="T17" s="218">
        <v>2603.8000000000002</v>
      </c>
      <c r="U17" s="108">
        <f t="shared" ref="U17:V17" si="12">+U70+U103+U137+U151+U170</f>
        <v>2736.3897764051062</v>
      </c>
      <c r="V17" s="108">
        <f t="shared" si="12"/>
        <v>2760.4865140696907</v>
      </c>
      <c r="W17" s="109">
        <f>SUM(S17:V17)</f>
        <v>10859.376290474796</v>
      </c>
      <c r="X17" s="108">
        <f>+X70+X103+X137+X151+X170</f>
        <v>2884.8859985439572</v>
      </c>
      <c r="Y17" s="108">
        <f t="shared" ref="Y17:AA17" si="13">+Y70+Y103+Y137+Y151+Y170</f>
        <v>2802.8894802438253</v>
      </c>
      <c r="Z17" s="108">
        <f t="shared" si="13"/>
        <v>2959.3859140660579</v>
      </c>
      <c r="AA17" s="108">
        <f t="shared" si="13"/>
        <v>2983.6901256296887</v>
      </c>
      <c r="AB17" s="109">
        <f>SUM(X17:AA17)</f>
        <v>11630.851518483527</v>
      </c>
    </row>
    <row r="18" spans="2:28" s="22" customFormat="1" outlineLevel="1" x14ac:dyDescent="0.25">
      <c r="B18" s="66" t="s">
        <v>31</v>
      </c>
      <c r="C18" s="69"/>
      <c r="D18" s="106">
        <f>+D16-D17</f>
        <v>3187.3000000000011</v>
      </c>
      <c r="E18" s="106">
        <f t="shared" ref="E18:G18" si="14">+E16-E17</f>
        <v>2982.8999999999996</v>
      </c>
      <c r="F18" s="106">
        <f t="shared" si="14"/>
        <v>3177.7</v>
      </c>
      <c r="G18" s="106">
        <f t="shared" si="14"/>
        <v>3459</v>
      </c>
      <c r="H18" s="107">
        <f>+H16-H17</f>
        <v>12806.900000000001</v>
      </c>
      <c r="I18" s="106">
        <f>+I16-I17</f>
        <v>3438.8999999999996</v>
      </c>
      <c r="J18" s="106">
        <f t="shared" ref="J18" si="15">+J16-J17</f>
        <v>3153.7999999999993</v>
      </c>
      <c r="K18" s="106">
        <f t="shared" ref="K18" si="16">+K16-K17</f>
        <v>3413.5</v>
      </c>
      <c r="L18" s="106">
        <f t="shared" ref="L18" si="17">+L16-L17</f>
        <v>3346.2000000000003</v>
      </c>
      <c r="M18" s="107">
        <f>+M16-M17</f>
        <v>13352.400000000001</v>
      </c>
      <c r="N18" s="106">
        <f>+N16-N17</f>
        <v>3572</v>
      </c>
      <c r="O18" s="106">
        <f t="shared" ref="O18" si="18">+O16-O17</f>
        <v>3517.1000000000004</v>
      </c>
      <c r="P18" s="106">
        <f t="shared" ref="P18" si="19">+P16-P17</f>
        <v>3756.9</v>
      </c>
      <c r="Q18" s="106">
        <f t="shared" ref="Q18" si="20">+Q16-Q17</f>
        <v>3699.0499999999997</v>
      </c>
      <c r="R18" s="107">
        <f>+R16-R17</f>
        <v>14545.050000000001</v>
      </c>
      <c r="S18" s="106">
        <f>+S16-S17</f>
        <v>3874.0000000000009</v>
      </c>
      <c r="T18" s="217">
        <f t="shared" ref="T18:V18" si="21">+T16-T17</f>
        <v>3702.0999999999995</v>
      </c>
      <c r="U18" s="106">
        <f t="shared" si="21"/>
        <v>3969.011208967976</v>
      </c>
      <c r="V18" s="106">
        <f t="shared" si="21"/>
        <v>4003.5505822259979</v>
      </c>
      <c r="W18" s="107">
        <f>+W16-W17</f>
        <v>15548.661791193976</v>
      </c>
      <c r="X18" s="106">
        <f t="shared" ref="X18:AA18" si="22">+X16-X17</f>
        <v>4219.1285512767099</v>
      </c>
      <c r="Y18" s="106">
        <f t="shared" si="22"/>
        <v>4059.5678275779837</v>
      </c>
      <c r="Z18" s="106">
        <f t="shared" si="22"/>
        <v>4357.9821613931044</v>
      </c>
      <c r="AA18" s="106">
        <f t="shared" si="22"/>
        <v>4403.6611274831139</v>
      </c>
      <c r="AB18" s="107">
        <f>+AB16-AB17</f>
        <v>17040.339667730914</v>
      </c>
    </row>
    <row r="19" spans="2:28" outlineLevel="1" x14ac:dyDescent="0.25">
      <c r="B19" s="101" t="s">
        <v>74</v>
      </c>
      <c r="C19" s="32"/>
      <c r="D19" s="104">
        <v>1506.2</v>
      </c>
      <c r="E19" s="104">
        <v>1466.4</v>
      </c>
      <c r="F19" s="104">
        <v>1529.4</v>
      </c>
      <c r="G19" s="104">
        <f>6064.3-4502</f>
        <v>1562.3000000000002</v>
      </c>
      <c r="H19" s="105">
        <f t="shared" ref="H19:H22" si="23">SUM(D19:G19)</f>
        <v>6064.3</v>
      </c>
      <c r="I19" s="104">
        <v>1638.2</v>
      </c>
      <c r="J19" s="104">
        <v>1586.4</v>
      </c>
      <c r="K19" s="104">
        <v>1628.9</v>
      </c>
      <c r="L19" s="104">
        <v>1639.8</v>
      </c>
      <c r="M19" s="105">
        <f t="shared" ref="M19:M22" si="24">SUM(I19:L19)</f>
        <v>6493.3</v>
      </c>
      <c r="N19" s="104">
        <v>1737</v>
      </c>
      <c r="O19" s="104">
        <v>1789.6</v>
      </c>
      <c r="P19" s="104">
        <v>1825</v>
      </c>
      <c r="Q19" s="104">
        <v>1841.6</v>
      </c>
      <c r="R19" s="105">
        <f t="shared" ref="R19:R22" si="25">SUM(N19:Q19)</f>
        <v>7193.2000000000007</v>
      </c>
      <c r="S19" s="104">
        <v>1993</v>
      </c>
      <c r="T19" s="219">
        <v>1949.6</v>
      </c>
      <c r="U19" s="104">
        <f t="shared" ref="U19:V19" si="26">+U71+U104+U138+U152+U171</f>
        <v>2017.7952756609168</v>
      </c>
      <c r="V19" s="104">
        <f t="shared" si="26"/>
        <v>2034.2171983724163</v>
      </c>
      <c r="W19" s="105">
        <f t="shared" ref="W19:W22" si="27">SUM(S19:V19)</f>
        <v>7994.6124740333335</v>
      </c>
      <c r="X19" s="104">
        <f>+X71+X104+X138+X152+X171</f>
        <v>2136.1001193206562</v>
      </c>
      <c r="Y19" s="104">
        <f t="shared" ref="Y19:AA19" si="28">+Y71+Y104+Y138+Y152+Y171</f>
        <v>2103.3537753430478</v>
      </c>
      <c r="Z19" s="104">
        <f t="shared" si="28"/>
        <v>2192.4361652087791</v>
      </c>
      <c r="AA19" s="104">
        <f t="shared" si="28"/>
        <v>2209.9232842645929</v>
      </c>
      <c r="AB19" s="105">
        <f t="shared" ref="AB19:AB22" si="29">SUM(X19:AA19)</f>
        <v>8641.8133441370755</v>
      </c>
    </row>
    <row r="20" spans="2:28" outlineLevel="1" x14ac:dyDescent="0.25">
      <c r="B20" s="101" t="s">
        <v>75</v>
      </c>
      <c r="C20" s="32"/>
      <c r="D20" s="104">
        <v>146.19999999999999</v>
      </c>
      <c r="E20" s="104">
        <v>139.6</v>
      </c>
      <c r="F20" s="104">
        <v>137.5</v>
      </c>
      <c r="G20" s="104">
        <f>499.2-423.3</f>
        <v>75.899999999999977</v>
      </c>
      <c r="H20" s="105">
        <f t="shared" si="23"/>
        <v>499.19999999999993</v>
      </c>
      <c r="I20" s="104">
        <v>133.30000000000001</v>
      </c>
      <c r="J20" s="104">
        <v>123.1</v>
      </c>
      <c r="K20" s="104">
        <v>129.4</v>
      </c>
      <c r="L20" s="104">
        <v>114.4</v>
      </c>
      <c r="M20" s="105">
        <f t="shared" si="24"/>
        <v>500.19999999999993</v>
      </c>
      <c r="N20" s="104">
        <v>129.5</v>
      </c>
      <c r="O20" s="104">
        <v>120.8</v>
      </c>
      <c r="P20" s="104">
        <v>132.30000000000001</v>
      </c>
      <c r="Q20" s="104">
        <v>156.69999999999999</v>
      </c>
      <c r="R20" s="105">
        <f t="shared" si="25"/>
        <v>539.29999999999995</v>
      </c>
      <c r="S20" s="104">
        <v>93.2</v>
      </c>
      <c r="T20" s="219">
        <v>82.3</v>
      </c>
      <c r="U20" s="104">
        <f t="shared" ref="U20:V20" si="30">+U72+U105+U139+U153+U172</f>
        <v>87.949005360527906</v>
      </c>
      <c r="V20" s="104">
        <f t="shared" si="30"/>
        <v>89.274997695454346</v>
      </c>
      <c r="W20" s="105">
        <f t="shared" si="27"/>
        <v>352.72400305598228</v>
      </c>
      <c r="X20" s="104">
        <f>+X72+X105+X139+X153+X172</f>
        <v>91.490898958681228</v>
      </c>
      <c r="Y20" s="104">
        <f t="shared" ref="Y20:AA20" si="31">+Y72+Y105+Y139+Y153+Y172</f>
        <v>85.684625444429429</v>
      </c>
      <c r="Z20" s="104">
        <f t="shared" si="31"/>
        <v>91.729800642727795</v>
      </c>
      <c r="AA20" s="104">
        <f t="shared" si="31"/>
        <v>92.32006474423639</v>
      </c>
      <c r="AB20" s="105">
        <f t="shared" si="29"/>
        <v>361.22538979007487</v>
      </c>
    </row>
    <row r="21" spans="2:28" outlineLevel="1" x14ac:dyDescent="0.25">
      <c r="B21" s="101" t="s">
        <v>76</v>
      </c>
      <c r="C21" s="32"/>
      <c r="D21" s="104">
        <v>235.5</v>
      </c>
      <c r="E21" s="104">
        <v>247.8</v>
      </c>
      <c r="F21" s="104">
        <v>247.6</v>
      </c>
      <c r="G21" s="104">
        <f>980.8-730.9</f>
        <v>249.89999999999998</v>
      </c>
      <c r="H21" s="105">
        <f t="shared" ref="H21" si="32">SUM(D21:G21)</f>
        <v>980.8</v>
      </c>
      <c r="I21" s="104">
        <v>249.7</v>
      </c>
      <c r="J21" s="104">
        <v>253.6</v>
      </c>
      <c r="K21" s="104">
        <v>252.6</v>
      </c>
      <c r="L21" s="104">
        <v>255.4</v>
      </c>
      <c r="M21" s="105">
        <f t="shared" ref="M21" si="33">SUM(I21:L21)</f>
        <v>1011.3</v>
      </c>
      <c r="N21" s="104">
        <v>258.8</v>
      </c>
      <c r="O21" s="104">
        <v>331.6</v>
      </c>
      <c r="P21" s="104">
        <v>330</v>
      </c>
      <c r="Q21" s="104">
        <v>326.60000000000002</v>
      </c>
      <c r="R21" s="105">
        <f t="shared" ref="R21" si="34">SUM(N21:Q21)</f>
        <v>1247</v>
      </c>
      <c r="S21" s="104">
        <v>333.4</v>
      </c>
      <c r="T21" s="219">
        <v>356.2</v>
      </c>
      <c r="U21" s="104">
        <f>+U73+U106+U140+U154+U173</f>
        <v>366.15674146291917</v>
      </c>
      <c r="V21" s="104">
        <f t="shared" ref="V21" si="35">+V73+V106+V140+V154+V173</f>
        <v>373.20790065414627</v>
      </c>
      <c r="W21" s="105">
        <f t="shared" ref="W21" si="36">SUM(S21:V21)</f>
        <v>1428.9646421170653</v>
      </c>
      <c r="X21" s="104">
        <f>+X73+X106+X140+X154+X173</f>
        <v>391.81671547293575</v>
      </c>
      <c r="Y21" s="104">
        <f t="shared" ref="Y21:AA21" si="37">+Y73+Y106+Y140+Y154+Y173</f>
        <v>402.68079777523428</v>
      </c>
      <c r="Z21" s="104">
        <f t="shared" si="37"/>
        <v>400.91410425530529</v>
      </c>
      <c r="AA21" s="104">
        <f t="shared" si="37"/>
        <v>401.54769161816705</v>
      </c>
      <c r="AB21" s="105">
        <f t="shared" ref="AB21" si="38">SUM(X21:AA21)</f>
        <v>1596.9593091216425</v>
      </c>
    </row>
    <row r="22" spans="2:28" ht="17.25" customHeight="1" outlineLevel="1" x14ac:dyDescent="0.25">
      <c r="B22" s="101" t="s">
        <v>184</v>
      </c>
      <c r="C22" s="32"/>
      <c r="D22" s="104">
        <v>305.5</v>
      </c>
      <c r="E22" s="104">
        <v>330.5</v>
      </c>
      <c r="F22" s="104">
        <v>323.39999999999998</v>
      </c>
      <c r="G22" s="104">
        <f>1408.9-959.4</f>
        <v>449.50000000000011</v>
      </c>
      <c r="H22" s="105">
        <f t="shared" si="23"/>
        <v>1408.9</v>
      </c>
      <c r="I22" s="104">
        <v>369.5</v>
      </c>
      <c r="J22" s="104">
        <v>339.4</v>
      </c>
      <c r="K22" s="104">
        <v>339.2</v>
      </c>
      <c r="L22" s="104">
        <v>402.7</v>
      </c>
      <c r="M22" s="105">
        <f t="shared" si="24"/>
        <v>1450.8</v>
      </c>
      <c r="N22" s="104">
        <v>392.4</v>
      </c>
      <c r="O22" s="104">
        <v>420.6</v>
      </c>
      <c r="P22" s="104">
        <v>485.9</v>
      </c>
      <c r="Q22" s="104">
        <v>460</v>
      </c>
      <c r="R22" s="105">
        <f t="shared" si="25"/>
        <v>1758.9</v>
      </c>
      <c r="S22" s="104">
        <v>463.3</v>
      </c>
      <c r="T22" s="219">
        <v>475.6</v>
      </c>
      <c r="U22" s="104">
        <f t="shared" ref="U22:V22" si="39">+U74+U107+U141+U155+U174</f>
        <v>468.61498666122282</v>
      </c>
      <c r="V22" s="104">
        <f t="shared" si="39"/>
        <v>474.28133430172801</v>
      </c>
      <c r="W22" s="105">
        <f t="shared" si="27"/>
        <v>1881.7963209629509</v>
      </c>
      <c r="X22" s="104">
        <f>+X74+X107+X141+X155+X174</f>
        <v>481.39237281453575</v>
      </c>
      <c r="Y22" s="104">
        <f t="shared" ref="Y22:AA22" si="40">+Y74+Y107+Y141+Y155+Y174</f>
        <v>479.4835893313014</v>
      </c>
      <c r="Z22" s="104">
        <f t="shared" si="40"/>
        <v>486.62208333273946</v>
      </c>
      <c r="AA22" s="104">
        <f t="shared" si="40"/>
        <v>487.50587544744178</v>
      </c>
      <c r="AB22" s="234">
        <f t="shared" si="29"/>
        <v>1935.0039209260185</v>
      </c>
    </row>
    <row r="23" spans="2:28" ht="17.25" customHeight="1" outlineLevel="1" x14ac:dyDescent="0.4">
      <c r="B23" s="101" t="s">
        <v>85</v>
      </c>
      <c r="C23" s="32"/>
      <c r="D23" s="108">
        <v>0</v>
      </c>
      <c r="E23" s="108">
        <v>0</v>
      </c>
      <c r="F23" s="108">
        <v>0</v>
      </c>
      <c r="G23" s="108">
        <v>0</v>
      </c>
      <c r="H23" s="109">
        <f t="shared" ref="H23" si="41">SUM(D23:G23)</f>
        <v>0</v>
      </c>
      <c r="I23" s="108">
        <v>0</v>
      </c>
      <c r="J23" s="108">
        <v>0</v>
      </c>
      <c r="K23" s="108">
        <v>120.2</v>
      </c>
      <c r="L23" s="108">
        <v>33.299999999999997</v>
      </c>
      <c r="M23" s="109">
        <f t="shared" ref="M23" si="42">SUM(I23:L23)</f>
        <v>153.5</v>
      </c>
      <c r="N23" s="108">
        <v>27.6</v>
      </c>
      <c r="O23" s="108">
        <v>134.69999999999999</v>
      </c>
      <c r="P23" s="108">
        <v>16.899999999999999</v>
      </c>
      <c r="Q23" s="108">
        <v>45.2</v>
      </c>
      <c r="R23" s="109">
        <f t="shared" ref="R23" si="43">SUM(N23:Q23)</f>
        <v>224.39999999999998</v>
      </c>
      <c r="S23" s="108">
        <v>43.2</v>
      </c>
      <c r="T23" s="218">
        <v>43</v>
      </c>
      <c r="U23" s="108">
        <f t="shared" ref="U23:V23" si="44">+U75+U108+U142+U156+U175</f>
        <v>52.049494113820188</v>
      </c>
      <c r="V23" s="108">
        <f t="shared" si="44"/>
        <v>54.084864629132497</v>
      </c>
      <c r="W23" s="109">
        <f t="shared" ref="W23" si="45">SUM(S23:V23)</f>
        <v>192.3343587429527</v>
      </c>
      <c r="X23" s="108">
        <f>+X75+X108+X142+X156+X175</f>
        <v>54.009643208406288</v>
      </c>
      <c r="Y23" s="108">
        <f t="shared" ref="Y23:AA23" si="46">+Y75+Y108+Y142+Y156+Y175</f>
        <v>47.746754049469196</v>
      </c>
      <c r="Z23" s="108">
        <f t="shared" si="46"/>
        <v>52.484808688970759</v>
      </c>
      <c r="AA23" s="108">
        <f t="shared" si="46"/>
        <v>52.094106550008831</v>
      </c>
      <c r="AB23" s="109">
        <f t="shared" ref="AB23" si="47">SUM(X23:AA23)</f>
        <v>206.33531249685507</v>
      </c>
    </row>
    <row r="24" spans="2:28" s="36" customFormat="1" ht="17.25" customHeight="1" x14ac:dyDescent="0.4">
      <c r="B24" s="102" t="s">
        <v>10</v>
      </c>
      <c r="C24" s="35"/>
      <c r="D24" s="110">
        <f>SUM(D19:D23)+D17</f>
        <v>4379.6000000000004</v>
      </c>
      <c r="E24" s="110">
        <f t="shared" ref="E24:AB24" si="48">SUM(E19:E23)+E17</f>
        <v>4194.6000000000004</v>
      </c>
      <c r="F24" s="110">
        <f t="shared" si="48"/>
        <v>4298.2000000000007</v>
      </c>
      <c r="G24" s="110">
        <f t="shared" si="48"/>
        <v>4589.8</v>
      </c>
      <c r="H24" s="111">
        <f t="shared" si="48"/>
        <v>17462.2</v>
      </c>
      <c r="I24" s="110">
        <f>SUM(I19:I23)+I17</f>
        <v>4684.7</v>
      </c>
      <c r="J24" s="110">
        <f t="shared" si="48"/>
        <v>4442.7</v>
      </c>
      <c r="K24" s="110">
        <f t="shared" si="48"/>
        <v>4718.2999999999993</v>
      </c>
      <c r="L24" s="110">
        <f t="shared" si="48"/>
        <v>4797.7000000000007</v>
      </c>
      <c r="M24" s="111">
        <f t="shared" si="48"/>
        <v>18643.400000000001</v>
      </c>
      <c r="N24" s="110">
        <f t="shared" si="48"/>
        <v>5047</v>
      </c>
      <c r="O24" s="110">
        <f t="shared" si="48"/>
        <v>5312</v>
      </c>
      <c r="P24" s="110">
        <f t="shared" si="48"/>
        <v>5343.5</v>
      </c>
      <c r="Q24" s="110">
        <f t="shared" si="48"/>
        <v>5434.7</v>
      </c>
      <c r="R24" s="111">
        <f>SUM(R19:R23)+R17</f>
        <v>21137.199999999997</v>
      </c>
      <c r="S24" s="110">
        <f t="shared" si="48"/>
        <v>5684.7999999999993</v>
      </c>
      <c r="T24" s="220">
        <f t="shared" si="48"/>
        <v>5510.5</v>
      </c>
      <c r="U24" s="110">
        <f t="shared" ref="U24:V24" si="49">SUM(U19:U23)+U17</f>
        <v>5728.955279664513</v>
      </c>
      <c r="V24" s="110">
        <f t="shared" si="49"/>
        <v>5785.5528097225679</v>
      </c>
      <c r="W24" s="111">
        <f t="shared" si="48"/>
        <v>22709.808089387079</v>
      </c>
      <c r="X24" s="110">
        <f t="shared" ref="X24:AA24" si="50">SUM(X19:X23)+X17</f>
        <v>6039.6957483191727</v>
      </c>
      <c r="Y24" s="110">
        <f t="shared" si="50"/>
        <v>5921.8390221873069</v>
      </c>
      <c r="Z24" s="110">
        <f t="shared" si="50"/>
        <v>6183.5728761945793</v>
      </c>
      <c r="AA24" s="110">
        <f t="shared" si="50"/>
        <v>6227.0811482541358</v>
      </c>
      <c r="AB24" s="111">
        <f t="shared" si="48"/>
        <v>24372.188794955196</v>
      </c>
    </row>
    <row r="25" spans="2:28" s="39" customFormat="1" ht="17.25" customHeight="1" x14ac:dyDescent="0.4">
      <c r="B25" s="263" t="s">
        <v>78</v>
      </c>
      <c r="C25" s="264"/>
      <c r="D25" s="108">
        <v>64.099999999999994</v>
      </c>
      <c r="E25" s="108">
        <v>65.599999999999994</v>
      </c>
      <c r="F25" s="108">
        <v>82.5</v>
      </c>
      <c r="G25" s="108">
        <f>318.2-212.2</f>
        <v>106</v>
      </c>
      <c r="H25" s="109">
        <f t="shared" ref="H25" si="51">SUM(D25:G25)</f>
        <v>318.2</v>
      </c>
      <c r="I25" s="108">
        <v>84.4</v>
      </c>
      <c r="J25" s="108">
        <v>84.1</v>
      </c>
      <c r="K25" s="108">
        <v>101</v>
      </c>
      <c r="L25" s="108">
        <v>121.9</v>
      </c>
      <c r="M25" s="109">
        <f t="shared" ref="M25" si="52">SUM(I25:L25)</f>
        <v>391.4</v>
      </c>
      <c r="N25" s="108">
        <v>89.4</v>
      </c>
      <c r="O25" s="108">
        <v>52.7</v>
      </c>
      <c r="P25" s="108">
        <v>71.400000000000006</v>
      </c>
      <c r="Q25" s="108">
        <v>87.7</v>
      </c>
      <c r="R25" s="109">
        <f t="shared" ref="R25" si="53">SUM(N25:Q25)</f>
        <v>301.20000000000005</v>
      </c>
      <c r="S25" s="108">
        <v>67.8</v>
      </c>
      <c r="T25" s="218">
        <v>62.3</v>
      </c>
      <c r="U25" s="108">
        <f t="shared" ref="U25:V25" si="54">+U110+U158</f>
        <v>72.300000000000011</v>
      </c>
      <c r="V25" s="108">
        <f t="shared" si="54"/>
        <v>72.525000000000006</v>
      </c>
      <c r="W25" s="109">
        <f t="shared" ref="W25" si="55">SUM(S25:V25)</f>
        <v>274.92500000000001</v>
      </c>
      <c r="X25" s="108">
        <f>+X110+X158</f>
        <v>68.731250000000017</v>
      </c>
      <c r="Y25" s="108">
        <f t="shared" ref="Y25:AA25" si="56">+Y110+Y158</f>
        <v>68.964062500000011</v>
      </c>
      <c r="Z25" s="108">
        <f t="shared" si="56"/>
        <v>70.630078125000011</v>
      </c>
      <c r="AA25" s="108">
        <f t="shared" si="56"/>
        <v>70.212597656250011</v>
      </c>
      <c r="AB25" s="109">
        <f t="shared" ref="AB25" si="57">SUM(X25:AA25)</f>
        <v>278.53798828125002</v>
      </c>
    </row>
    <row r="26" spans="2:28" x14ac:dyDescent="0.25">
      <c r="B26" s="68" t="s">
        <v>17</v>
      </c>
      <c r="C26" s="33"/>
      <c r="D26" s="106">
        <f>D16-D24+D25</f>
        <v>1058.0000000000005</v>
      </c>
      <c r="E26" s="106">
        <f t="shared" ref="E26:AB26" si="58">E16-E24+E25</f>
        <v>864.19999999999948</v>
      </c>
      <c r="F26" s="106">
        <f t="shared" si="58"/>
        <v>1022.2999999999993</v>
      </c>
      <c r="G26" s="106">
        <f t="shared" si="58"/>
        <v>1227.3999999999996</v>
      </c>
      <c r="H26" s="107">
        <f t="shared" si="58"/>
        <v>4171.9000000000005</v>
      </c>
      <c r="I26" s="106">
        <f t="shared" si="58"/>
        <v>1132.5999999999999</v>
      </c>
      <c r="J26" s="106">
        <f t="shared" si="58"/>
        <v>935.3999999999993</v>
      </c>
      <c r="K26" s="106">
        <f t="shared" si="58"/>
        <v>1044.2000000000007</v>
      </c>
      <c r="L26" s="106">
        <f t="shared" si="58"/>
        <v>1022.4999999999994</v>
      </c>
      <c r="M26" s="107">
        <f t="shared" si="58"/>
        <v>4134.6999999999989</v>
      </c>
      <c r="N26" s="106">
        <f>N16-N24+N25</f>
        <v>1116.0999999999999</v>
      </c>
      <c r="O26" s="106">
        <f t="shared" si="58"/>
        <v>772.50000000000023</v>
      </c>
      <c r="P26" s="106">
        <f t="shared" si="58"/>
        <v>1038.2000000000003</v>
      </c>
      <c r="Q26" s="106">
        <f t="shared" si="58"/>
        <v>956.64999999999986</v>
      </c>
      <c r="R26" s="107">
        <f>R16-R24+R25</f>
        <v>3883.4500000000035</v>
      </c>
      <c r="S26" s="106">
        <f t="shared" si="58"/>
        <v>1015.7000000000014</v>
      </c>
      <c r="T26" s="217">
        <f t="shared" si="58"/>
        <v>857.69999999999959</v>
      </c>
      <c r="U26" s="106">
        <f t="shared" si="58"/>
        <v>1048.7457057085692</v>
      </c>
      <c r="V26" s="106">
        <f t="shared" si="58"/>
        <v>1051.0092865731208</v>
      </c>
      <c r="W26" s="107">
        <f t="shared" si="58"/>
        <v>3973.154992281693</v>
      </c>
      <c r="X26" s="106">
        <f t="shared" si="58"/>
        <v>1133.0500515014949</v>
      </c>
      <c r="Y26" s="106">
        <f t="shared" si="58"/>
        <v>1009.5823481345021</v>
      </c>
      <c r="Z26" s="106">
        <f t="shared" si="58"/>
        <v>1204.425277389583</v>
      </c>
      <c r="AA26" s="106">
        <f t="shared" si="58"/>
        <v>1230.4827025149168</v>
      </c>
      <c r="AB26" s="107">
        <f t="shared" si="58"/>
        <v>4577.5403795404945</v>
      </c>
    </row>
    <row r="27" spans="2:28" ht="17.25" x14ac:dyDescent="0.4">
      <c r="B27" s="188" t="s">
        <v>167</v>
      </c>
      <c r="C27" s="189"/>
      <c r="D27" s="190">
        <f>+D210</f>
        <v>12.3</v>
      </c>
      <c r="E27" s="190">
        <f>+E210</f>
        <v>13.9</v>
      </c>
      <c r="F27" s="190">
        <f>+F210</f>
        <v>17.3</v>
      </c>
      <c r="G27" s="190">
        <f>+G210</f>
        <v>-120.60000000000001</v>
      </c>
      <c r="H27" s="191">
        <f>SUM(D27:G27)</f>
        <v>-77.100000000000009</v>
      </c>
      <c r="I27" s="190">
        <f>+I210</f>
        <v>14</v>
      </c>
      <c r="J27" s="190">
        <f>+J210</f>
        <v>13.8</v>
      </c>
      <c r="K27" s="190">
        <f>+K210</f>
        <v>134.19999999999999</v>
      </c>
      <c r="L27" s="190">
        <f>+L210</f>
        <v>115.8</v>
      </c>
      <c r="M27" s="191">
        <f>SUM(I27:L27)</f>
        <v>277.8</v>
      </c>
      <c r="N27" s="190">
        <f>+N210</f>
        <v>51.4</v>
      </c>
      <c r="O27" s="190">
        <f>+O210</f>
        <v>204.6</v>
      </c>
      <c r="P27" s="190">
        <f>+P210</f>
        <v>131.69999999999999</v>
      </c>
      <c r="Q27" s="190">
        <f>+Q210</f>
        <v>186.5</v>
      </c>
      <c r="R27" s="191">
        <f>SUM(N27:Q27)</f>
        <v>574.20000000000005</v>
      </c>
      <c r="S27" s="190">
        <f>+S210</f>
        <v>138</v>
      </c>
      <c r="T27" s="221">
        <f>+T210</f>
        <v>141.4</v>
      </c>
      <c r="U27" s="190">
        <f>+U210</f>
        <v>119.21743402246304</v>
      </c>
      <c r="V27" s="190">
        <f>+V210</f>
        <v>138.96877045489299</v>
      </c>
      <c r="W27" s="191">
        <f>SUM(S27:V27)</f>
        <v>537.58620447735598</v>
      </c>
      <c r="X27" s="190">
        <f>+X210</f>
        <v>135.04815406624977</v>
      </c>
      <c r="Y27" s="190">
        <f>+Y210</f>
        <v>116.0193431975309</v>
      </c>
      <c r="Z27" s="190">
        <f>+Z210</f>
        <v>137.82554512404789</v>
      </c>
      <c r="AA27" s="190">
        <f>+AA210</f>
        <v>141.97804211669455</v>
      </c>
      <c r="AB27" s="191">
        <f>SUM(X27:AA27)</f>
        <v>530.8710845045232</v>
      </c>
    </row>
    <row r="28" spans="2:28" x14ac:dyDescent="0.25">
      <c r="B28" s="186" t="s">
        <v>168</v>
      </c>
      <c r="C28" s="176"/>
      <c r="D28" s="177">
        <f>+D26+D27</f>
        <v>1070.3000000000004</v>
      </c>
      <c r="E28" s="177">
        <f t="shared" ref="E28:AA28" si="59">+E26+E27</f>
        <v>878.09999999999945</v>
      </c>
      <c r="F28" s="177">
        <f t="shared" si="59"/>
        <v>1039.5999999999992</v>
      </c>
      <c r="G28" s="177">
        <f t="shared" si="59"/>
        <v>1106.7999999999997</v>
      </c>
      <c r="H28" s="178">
        <f t="shared" si="59"/>
        <v>4094.8000000000006</v>
      </c>
      <c r="I28" s="177">
        <f t="shared" si="59"/>
        <v>1146.5999999999999</v>
      </c>
      <c r="J28" s="177">
        <f t="shared" si="59"/>
        <v>949.19999999999925</v>
      </c>
      <c r="K28" s="177">
        <f t="shared" si="59"/>
        <v>1178.4000000000008</v>
      </c>
      <c r="L28" s="177">
        <f t="shared" si="59"/>
        <v>1138.2999999999995</v>
      </c>
      <c r="M28" s="178">
        <f t="shared" ref="M28" si="60">+M26+M27</f>
        <v>4412.4999999999991</v>
      </c>
      <c r="N28" s="177">
        <f t="shared" si="59"/>
        <v>1167.5</v>
      </c>
      <c r="O28" s="177">
        <f t="shared" si="59"/>
        <v>977.10000000000025</v>
      </c>
      <c r="P28" s="177">
        <f t="shared" si="59"/>
        <v>1169.9000000000003</v>
      </c>
      <c r="Q28" s="177">
        <f t="shared" si="59"/>
        <v>1143.1499999999999</v>
      </c>
      <c r="R28" s="178">
        <f t="shared" ref="R28" si="61">+R26+R27</f>
        <v>4457.6500000000033</v>
      </c>
      <c r="S28" s="177">
        <f t="shared" si="59"/>
        <v>1153.7000000000014</v>
      </c>
      <c r="T28" s="222">
        <f t="shared" si="59"/>
        <v>999.09999999999957</v>
      </c>
      <c r="U28" s="177">
        <f t="shared" si="59"/>
        <v>1167.9631397310322</v>
      </c>
      <c r="V28" s="177">
        <f t="shared" si="59"/>
        <v>1189.9780570280138</v>
      </c>
      <c r="W28" s="178">
        <f t="shared" ref="W28" si="62">+W26+W27</f>
        <v>4510.7411967590488</v>
      </c>
      <c r="X28" s="177">
        <f t="shared" si="59"/>
        <v>1268.0982055677446</v>
      </c>
      <c r="Y28" s="177">
        <f t="shared" si="59"/>
        <v>1125.6016913320329</v>
      </c>
      <c r="Z28" s="177">
        <f t="shared" si="59"/>
        <v>1342.250822513631</v>
      </c>
      <c r="AA28" s="177">
        <f t="shared" si="59"/>
        <v>1372.4607446316113</v>
      </c>
      <c r="AB28" s="178">
        <f t="shared" ref="AB28" si="63">+AB26+AB27</f>
        <v>5108.411464045018</v>
      </c>
    </row>
    <row r="29" spans="2:28" x14ac:dyDescent="0.25">
      <c r="B29" s="70" t="s">
        <v>150</v>
      </c>
      <c r="C29" s="32"/>
      <c r="D29" s="104">
        <v>0</v>
      </c>
      <c r="E29" s="104">
        <v>0</v>
      </c>
      <c r="F29" s="104">
        <v>0</v>
      </c>
      <c r="G29" s="104">
        <v>5.4</v>
      </c>
      <c r="H29" s="105">
        <f>SUM(D29:G29)</f>
        <v>5.4</v>
      </c>
      <c r="I29" s="104">
        <v>0</v>
      </c>
      <c r="J29" s="104">
        <v>0</v>
      </c>
      <c r="K29" s="104">
        <v>0</v>
      </c>
      <c r="L29" s="104">
        <v>93.5</v>
      </c>
      <c r="M29" s="105">
        <f>SUM(I29:L29)</f>
        <v>93.5</v>
      </c>
      <c r="N29" s="104">
        <f>1326.3+501.2</f>
        <v>1827.5</v>
      </c>
      <c r="O29" s="104">
        <f>47.6-4.9</f>
        <v>42.7</v>
      </c>
      <c r="P29" s="104">
        <v>2.5</v>
      </c>
      <c r="Q29" s="104">
        <v>2.9</v>
      </c>
      <c r="R29" s="105">
        <f>SUM(N29:Q29)</f>
        <v>1875.6000000000001</v>
      </c>
      <c r="S29" s="104">
        <v>0</v>
      </c>
      <c r="T29" s="219">
        <v>21</v>
      </c>
      <c r="U29" s="198">
        <v>0</v>
      </c>
      <c r="V29" s="198">
        <v>0</v>
      </c>
      <c r="W29" s="105">
        <f>SUM(S29:V29)</f>
        <v>21</v>
      </c>
      <c r="X29" s="198">
        <v>0</v>
      </c>
      <c r="Y29" s="198">
        <v>0</v>
      </c>
      <c r="Z29" s="198">
        <v>0</v>
      </c>
      <c r="AA29" s="198">
        <v>0</v>
      </c>
      <c r="AB29" s="105">
        <f>SUM(X29:AA29)</f>
        <v>0</v>
      </c>
    </row>
    <row r="30" spans="2:28" x14ac:dyDescent="0.25">
      <c r="B30" s="70" t="s">
        <v>79</v>
      </c>
      <c r="C30" s="32"/>
      <c r="D30" s="104">
        <v>8.1</v>
      </c>
      <c r="E30" s="104">
        <v>14.5</v>
      </c>
      <c r="F30" s="104">
        <v>72.900000000000006</v>
      </c>
      <c r="G30" s="104">
        <f>102.6-95.5</f>
        <v>7.0999999999999943</v>
      </c>
      <c r="H30" s="105">
        <f t="shared" ref="H30" si="64">SUM(D30:G30)</f>
        <v>102.6</v>
      </c>
      <c r="I30" s="104">
        <v>24.1</v>
      </c>
      <c r="J30" s="104">
        <v>67.900000000000006</v>
      </c>
      <c r="K30" s="104">
        <v>31.7</v>
      </c>
      <c r="L30" s="104">
        <f>181.8-123.7</f>
        <v>58.100000000000009</v>
      </c>
      <c r="M30" s="105">
        <f t="shared" ref="M30" si="65">SUM(I30:L30)</f>
        <v>181.8</v>
      </c>
      <c r="N30" s="104">
        <f>88.2</f>
        <v>88.2</v>
      </c>
      <c r="O30" s="104">
        <v>35.5</v>
      </c>
      <c r="P30" s="104">
        <v>31.5</v>
      </c>
      <c r="Q30" s="104">
        <f>36.2</f>
        <v>36.200000000000003</v>
      </c>
      <c r="R30" s="105">
        <f t="shared" ref="R30" si="66">SUM(N30:Q30)</f>
        <v>191.39999999999998</v>
      </c>
      <c r="S30" s="104">
        <v>24.8</v>
      </c>
      <c r="T30" s="219">
        <v>15.2</v>
      </c>
      <c r="U30" s="198">
        <v>7.1507700000000112</v>
      </c>
      <c r="V30" s="198">
        <v>3.7680232851217896</v>
      </c>
      <c r="W30" s="105">
        <f t="shared" ref="W30" si="67">SUM(S30:V30)</f>
        <v>50.918793285121801</v>
      </c>
      <c r="X30" s="198">
        <v>3.9825317150279838</v>
      </c>
      <c r="Y30" s="198">
        <v>4.977733280835154</v>
      </c>
      <c r="Z30" s="198">
        <v>4.2477689037100674</v>
      </c>
      <c r="AA30" s="198">
        <v>3.6554888206344516</v>
      </c>
      <c r="AB30" s="105">
        <f t="shared" ref="AB30" si="68">SUM(X30:AA30)</f>
        <v>16.863522720207659</v>
      </c>
    </row>
    <row r="31" spans="2:28" ht="17.25" x14ac:dyDescent="0.4">
      <c r="B31" s="70" t="s">
        <v>80</v>
      </c>
      <c r="C31" s="63"/>
      <c r="D31" s="108">
        <v>-16.5</v>
      </c>
      <c r="E31" s="108">
        <v>-18.3</v>
      </c>
      <c r="F31" s="108">
        <v>-21.8</v>
      </c>
      <c r="G31" s="108">
        <f>-81.3+56.6</f>
        <v>-24.699999999999996</v>
      </c>
      <c r="H31" s="109">
        <f t="shared" ref="H31" si="69">SUM(D31:G31)</f>
        <v>-81.299999999999983</v>
      </c>
      <c r="I31" s="108">
        <v>-23.8</v>
      </c>
      <c r="J31" s="108">
        <v>-22.9</v>
      </c>
      <c r="K31" s="108">
        <v>-23.5</v>
      </c>
      <c r="L31" s="108">
        <f>-92.5+70.2</f>
        <v>-22.299999999999997</v>
      </c>
      <c r="M31" s="109">
        <f t="shared" ref="M31" si="70">SUM(I31:L31)</f>
        <v>-92.5</v>
      </c>
      <c r="N31" s="108">
        <v>-25.9</v>
      </c>
      <c r="O31" s="108">
        <v>-35.1</v>
      </c>
      <c r="P31" s="108">
        <v>-45.4</v>
      </c>
      <c r="Q31" s="108">
        <v>-63.9</v>
      </c>
      <c r="R31" s="109">
        <f t="shared" ref="R31" si="71">SUM(N31:Q31)</f>
        <v>-170.3</v>
      </c>
      <c r="S31" s="108">
        <v>-75</v>
      </c>
      <c r="T31" s="218">
        <v>-73.900000000000006</v>
      </c>
      <c r="U31" s="112">
        <v>-73.731999999999999</v>
      </c>
      <c r="V31" s="112">
        <v>-77.731999999999999</v>
      </c>
      <c r="W31" s="109">
        <f t="shared" ref="W31" si="72">SUM(S31:V31)</f>
        <v>-300.36400000000003</v>
      </c>
      <c r="X31" s="112">
        <v>-86.088113536662263</v>
      </c>
      <c r="Y31" s="112">
        <v>-87.975882677729231</v>
      </c>
      <c r="Z31" s="112">
        <v>-89.887542783074892</v>
      </c>
      <c r="AA31" s="112">
        <v>-91.930762016017525</v>
      </c>
      <c r="AB31" s="109">
        <f t="shared" ref="AB31" si="73">SUM(X31:AA31)</f>
        <v>-355.88230101348393</v>
      </c>
    </row>
    <row r="32" spans="2:28" x14ac:dyDescent="0.25">
      <c r="B32" s="277" t="s">
        <v>18</v>
      </c>
      <c r="C32" s="278"/>
      <c r="D32" s="106">
        <f>D26+D30+D31+D29</f>
        <v>1049.6000000000004</v>
      </c>
      <c r="E32" s="106">
        <f t="shared" ref="E32:L32" si="74">E26+E30+E31+E29</f>
        <v>860.39999999999952</v>
      </c>
      <c r="F32" s="106">
        <f t="shared" si="74"/>
        <v>1073.3999999999994</v>
      </c>
      <c r="G32" s="106">
        <f>G26+G30+G31+G29</f>
        <v>1215.1999999999996</v>
      </c>
      <c r="H32" s="107">
        <f t="shared" si="74"/>
        <v>4198.6000000000004</v>
      </c>
      <c r="I32" s="106">
        <f t="shared" si="74"/>
        <v>1132.8999999999999</v>
      </c>
      <c r="J32" s="106">
        <f t="shared" si="74"/>
        <v>980.3999999999993</v>
      </c>
      <c r="K32" s="106">
        <f t="shared" si="74"/>
        <v>1052.4000000000008</v>
      </c>
      <c r="L32" s="106">
        <f t="shared" si="74"/>
        <v>1151.7999999999995</v>
      </c>
      <c r="M32" s="107">
        <f t="shared" ref="M32" si="75">M26+M30+M31+M29</f>
        <v>4317.4999999999991</v>
      </c>
      <c r="N32" s="106">
        <f>N26+N30+N31+N29</f>
        <v>3005.8999999999996</v>
      </c>
      <c r="O32" s="106">
        <f t="shared" ref="O32:AB32" si="76">O26+O30+O31+O29</f>
        <v>815.60000000000025</v>
      </c>
      <c r="P32" s="106">
        <f t="shared" si="76"/>
        <v>1026.8000000000002</v>
      </c>
      <c r="Q32" s="106">
        <f t="shared" si="76"/>
        <v>931.84999999999991</v>
      </c>
      <c r="R32" s="107">
        <f t="shared" si="76"/>
        <v>5780.1500000000033</v>
      </c>
      <c r="S32" s="106">
        <f t="shared" si="76"/>
        <v>965.50000000000136</v>
      </c>
      <c r="T32" s="217">
        <f t="shared" si="76"/>
        <v>819.99999999999966</v>
      </c>
      <c r="U32" s="106">
        <f t="shared" si="76"/>
        <v>982.16447570856917</v>
      </c>
      <c r="V32" s="106">
        <f t="shared" si="76"/>
        <v>977.04530985824272</v>
      </c>
      <c r="W32" s="107">
        <f t="shared" si="76"/>
        <v>3744.7097855668148</v>
      </c>
      <c r="X32" s="106">
        <f t="shared" si="76"/>
        <v>1050.9444696798605</v>
      </c>
      <c r="Y32" s="106">
        <f t="shared" si="76"/>
        <v>926.58419873760806</v>
      </c>
      <c r="Z32" s="106">
        <f t="shared" si="76"/>
        <v>1118.7855035102182</v>
      </c>
      <c r="AA32" s="106">
        <f t="shared" si="76"/>
        <v>1142.2074293195337</v>
      </c>
      <c r="AB32" s="107">
        <f t="shared" si="76"/>
        <v>4238.5216012472183</v>
      </c>
    </row>
    <row r="33" spans="1:28" ht="17.25" x14ac:dyDescent="0.4">
      <c r="B33" s="247" t="s">
        <v>7</v>
      </c>
      <c r="C33" s="248"/>
      <c r="D33" s="108">
        <v>361.9</v>
      </c>
      <c r="E33" s="108">
        <v>285.39999999999998</v>
      </c>
      <c r="F33" s="108">
        <v>318.89999999999998</v>
      </c>
      <c r="G33" s="108">
        <f>1379.7-966.2</f>
        <v>413.5</v>
      </c>
      <c r="H33" s="109">
        <f>SUM(D33:G33)</f>
        <v>1379.6999999999998</v>
      </c>
      <c r="I33" s="108">
        <v>381.4</v>
      </c>
      <c r="J33" s="108">
        <v>327.60000000000002</v>
      </c>
      <c r="K33" s="108">
        <v>361.1</v>
      </c>
      <c r="L33" s="108">
        <f>1432.6-1070.1</f>
        <v>362.5</v>
      </c>
      <c r="M33" s="109">
        <f>SUM(I33:L33)</f>
        <v>1432.6</v>
      </c>
      <c r="N33" s="108">
        <v>755.8</v>
      </c>
      <c r="O33" s="108">
        <v>155.80000000000001</v>
      </c>
      <c r="P33" s="108">
        <v>174.8</v>
      </c>
      <c r="Q33" s="108">
        <v>175.5</v>
      </c>
      <c r="R33" s="109">
        <f>SUM(N33:Q33)</f>
        <v>1261.8999999999999</v>
      </c>
      <c r="S33" s="108">
        <v>205.1</v>
      </c>
      <c r="T33" s="218">
        <v>161.19999999999999</v>
      </c>
      <c r="U33" s="108">
        <f>+U32*U188</f>
        <v>206.25453989879952</v>
      </c>
      <c r="V33" s="108">
        <f>+V32*V188</f>
        <v>214.9499681688134</v>
      </c>
      <c r="W33" s="109">
        <f>SUM(S33:V33)</f>
        <v>787.50450806761285</v>
      </c>
      <c r="X33" s="108">
        <f>+X32*X188</f>
        <v>220.43932265514465</v>
      </c>
      <c r="Y33" s="108">
        <f>+Y32*Y188</f>
        <v>193.73460369349178</v>
      </c>
      <c r="Z33" s="108">
        <f>+Z32*Z188</f>
        <v>237.4169867682613</v>
      </c>
      <c r="AA33" s="108">
        <f>+AA32*AA188</f>
        <v>243.0182893259078</v>
      </c>
      <c r="AB33" s="109">
        <f>SUM(X33:AA33)</f>
        <v>894.60920244280555</v>
      </c>
    </row>
    <row r="34" spans="1:28" x14ac:dyDescent="0.25">
      <c r="A34" s="39"/>
      <c r="B34" s="277" t="s">
        <v>81</v>
      </c>
      <c r="C34" s="278"/>
      <c r="D34" s="106">
        <f>+D32-D33</f>
        <v>687.70000000000039</v>
      </c>
      <c r="E34" s="106">
        <f t="shared" ref="E34:AA34" si="77">+E32-E33</f>
        <v>574.99999999999955</v>
      </c>
      <c r="F34" s="106">
        <f t="shared" si="77"/>
        <v>754.49999999999943</v>
      </c>
      <c r="G34" s="106">
        <f t="shared" si="77"/>
        <v>801.69999999999959</v>
      </c>
      <c r="H34" s="107">
        <f t="shared" si="77"/>
        <v>2818.9000000000005</v>
      </c>
      <c r="I34" s="106">
        <f t="shared" si="77"/>
        <v>751.49999999999989</v>
      </c>
      <c r="J34" s="106">
        <f t="shared" si="77"/>
        <v>652.79999999999927</v>
      </c>
      <c r="K34" s="106">
        <f t="shared" si="77"/>
        <v>691.30000000000075</v>
      </c>
      <c r="L34" s="106">
        <f t="shared" si="77"/>
        <v>789.2999999999995</v>
      </c>
      <c r="M34" s="107">
        <f t="shared" ref="M34" si="78">+M32-M33</f>
        <v>2884.8999999999992</v>
      </c>
      <c r="N34" s="106">
        <f t="shared" si="77"/>
        <v>2250.0999999999995</v>
      </c>
      <c r="O34" s="106">
        <f t="shared" si="77"/>
        <v>659.80000000000018</v>
      </c>
      <c r="P34" s="106">
        <f t="shared" si="77"/>
        <v>852.00000000000023</v>
      </c>
      <c r="Q34" s="106">
        <f t="shared" si="77"/>
        <v>756.34999999999991</v>
      </c>
      <c r="R34" s="107">
        <f t="shared" ref="R34" si="79">+R32-R33</f>
        <v>4518.2500000000036</v>
      </c>
      <c r="S34" s="106">
        <f t="shared" si="77"/>
        <v>760.40000000000134</v>
      </c>
      <c r="T34" s="217">
        <f t="shared" si="77"/>
        <v>658.79999999999973</v>
      </c>
      <c r="U34" s="106">
        <f t="shared" si="77"/>
        <v>775.90993580976965</v>
      </c>
      <c r="V34" s="106">
        <f t="shared" si="77"/>
        <v>762.09534168942935</v>
      </c>
      <c r="W34" s="107">
        <f t="shared" ref="W34" si="80">+W32-W33</f>
        <v>2957.2052774992021</v>
      </c>
      <c r="X34" s="106">
        <f t="shared" si="77"/>
        <v>830.50514702471582</v>
      </c>
      <c r="Y34" s="106">
        <f t="shared" si="77"/>
        <v>732.84959504411631</v>
      </c>
      <c r="Z34" s="106">
        <f t="shared" si="77"/>
        <v>881.36851674195691</v>
      </c>
      <c r="AA34" s="106">
        <f t="shared" si="77"/>
        <v>899.18913999362599</v>
      </c>
      <c r="AB34" s="107">
        <f t="shared" ref="AB34" si="81">+AB32-AB33</f>
        <v>3343.912398804413</v>
      </c>
    </row>
    <row r="35" spans="1:28" ht="17.25" x14ac:dyDescent="0.4">
      <c r="A35" s="39"/>
      <c r="B35" s="43" t="s">
        <v>82</v>
      </c>
      <c r="C35" s="65"/>
      <c r="D35" s="108">
        <v>0.1</v>
      </c>
      <c r="E35" s="108">
        <v>-0.1</v>
      </c>
      <c r="F35" s="108">
        <v>0.4</v>
      </c>
      <c r="G35" s="108">
        <f>1.2-0.4</f>
        <v>0.79999999999999993</v>
      </c>
      <c r="H35" s="109">
        <f>SUM(D35:G35)</f>
        <v>1.2</v>
      </c>
      <c r="I35" s="108">
        <v>-0.3</v>
      </c>
      <c r="J35" s="108">
        <v>0</v>
      </c>
      <c r="K35" s="108">
        <v>-0.3</v>
      </c>
      <c r="L35" s="108">
        <v>0.8</v>
      </c>
      <c r="M35" s="109">
        <f>SUM(I35:L35)</f>
        <v>0.20000000000000007</v>
      </c>
      <c r="N35" s="108">
        <v>-0.1</v>
      </c>
      <c r="O35" s="108">
        <v>-0.3</v>
      </c>
      <c r="P35" s="108">
        <v>-0.5</v>
      </c>
      <c r="Q35" s="108">
        <v>0.6</v>
      </c>
      <c r="R35" s="109">
        <f>SUM(N35:Q35)</f>
        <v>-0.30000000000000004</v>
      </c>
      <c r="S35" s="108">
        <v>-0.2</v>
      </c>
      <c r="T35" s="218">
        <v>-4.4000000000000004</v>
      </c>
      <c r="U35" s="112">
        <f>AVERAGE(T35,S35,Q35,P35)</f>
        <v>-1.1250000000000002</v>
      </c>
      <c r="V35" s="112">
        <f>AVERAGE(U35,T35,S35,Q35)</f>
        <v>-1.2812500000000002</v>
      </c>
      <c r="W35" s="109">
        <f>SUM(S35:V35)</f>
        <v>-7.0062500000000005</v>
      </c>
      <c r="X35" s="112">
        <f>AVERAGE(V35,U35,T35,S35)</f>
        <v>-1.7515625000000001</v>
      </c>
      <c r="Y35" s="112">
        <f>AVERAGE(X35,V35,U35,T35)</f>
        <v>-2.1394531250000002</v>
      </c>
      <c r="Z35" s="112">
        <f>AVERAGE(Y35,X35,V35,U35)</f>
        <v>-1.5743164062500001</v>
      </c>
      <c r="AA35" s="112">
        <f>AVERAGE(Z35,Y35,X35,V35)</f>
        <v>-1.6866455078125002</v>
      </c>
      <c r="AB35" s="109">
        <f>SUM(X35:AA35)</f>
        <v>-7.1519775390625009</v>
      </c>
    </row>
    <row r="36" spans="1:28" s="22" customFormat="1" x14ac:dyDescent="0.25">
      <c r="A36" s="36"/>
      <c r="B36" s="73" t="s">
        <v>32</v>
      </c>
      <c r="C36" s="69"/>
      <c r="D36" s="106">
        <f>+D34-D35</f>
        <v>687.60000000000036</v>
      </c>
      <c r="E36" s="106">
        <f t="shared" ref="E36:P36" si="82">+E34-E35</f>
        <v>575.09999999999957</v>
      </c>
      <c r="F36" s="106">
        <f t="shared" si="82"/>
        <v>754.09999999999945</v>
      </c>
      <c r="G36" s="106">
        <f t="shared" si="82"/>
        <v>800.89999999999964</v>
      </c>
      <c r="H36" s="107">
        <f t="shared" si="82"/>
        <v>2817.7000000000007</v>
      </c>
      <c r="I36" s="106">
        <f t="shared" si="82"/>
        <v>751.79999999999984</v>
      </c>
      <c r="J36" s="106">
        <f t="shared" si="82"/>
        <v>652.79999999999927</v>
      </c>
      <c r="K36" s="106">
        <f t="shared" si="82"/>
        <v>691.6000000000007</v>
      </c>
      <c r="L36" s="106">
        <f t="shared" si="82"/>
        <v>788.49999999999955</v>
      </c>
      <c r="M36" s="107">
        <f t="shared" ref="M36" si="83">+M34-M35</f>
        <v>2884.6999999999994</v>
      </c>
      <c r="N36" s="106">
        <f t="shared" si="82"/>
        <v>2250.1999999999994</v>
      </c>
      <c r="O36" s="106">
        <f t="shared" si="82"/>
        <v>660.10000000000014</v>
      </c>
      <c r="P36" s="106">
        <f t="shared" si="82"/>
        <v>852.50000000000023</v>
      </c>
      <c r="Q36" s="106">
        <f>+Q34-Q35</f>
        <v>755.74999999999989</v>
      </c>
      <c r="R36" s="107">
        <f t="shared" ref="R36" si="84">+R34-R35</f>
        <v>4518.5500000000038</v>
      </c>
      <c r="S36" s="106">
        <f t="shared" ref="S36:AB36" si="85">+S34-S35</f>
        <v>760.60000000000139</v>
      </c>
      <c r="T36" s="217">
        <f t="shared" si="85"/>
        <v>663.1999999999997</v>
      </c>
      <c r="U36" s="106">
        <f t="shared" si="85"/>
        <v>777.03493580976965</v>
      </c>
      <c r="V36" s="106">
        <f t="shared" si="85"/>
        <v>763.37659168942935</v>
      </c>
      <c r="W36" s="107">
        <f t="shared" si="85"/>
        <v>2964.211527499202</v>
      </c>
      <c r="X36" s="106">
        <f t="shared" si="85"/>
        <v>832.2567095247158</v>
      </c>
      <c r="Y36" s="106">
        <f t="shared" si="85"/>
        <v>734.98904816911636</v>
      </c>
      <c r="Z36" s="106">
        <f t="shared" si="85"/>
        <v>882.94283314820689</v>
      </c>
      <c r="AA36" s="106">
        <f t="shared" si="85"/>
        <v>900.87578550143849</v>
      </c>
      <c r="AB36" s="107">
        <f t="shared" si="85"/>
        <v>3351.0643763434755</v>
      </c>
    </row>
    <row r="37" spans="1:28" s="22" customFormat="1" ht="17.25" x14ac:dyDescent="0.4">
      <c r="A37" s="36"/>
      <c r="B37" s="188" t="s">
        <v>169</v>
      </c>
      <c r="C37" s="185"/>
      <c r="D37" s="192">
        <f>-D211-D212</f>
        <v>-2</v>
      </c>
      <c r="E37" s="192">
        <f>-E211-E212</f>
        <v>-3</v>
      </c>
      <c r="F37" s="192">
        <f>-F211-F212</f>
        <v>-46.542999999999431</v>
      </c>
      <c r="G37" s="192">
        <f>-G211+G212</f>
        <v>59.443863153953373</v>
      </c>
      <c r="H37" s="193">
        <f>SUM(D37:G37)</f>
        <v>7.9008631539539422</v>
      </c>
      <c r="I37" s="192">
        <f>-I211-I212</f>
        <v>-2.5</v>
      </c>
      <c r="J37" s="192">
        <f>-J211-J212</f>
        <v>-2</v>
      </c>
      <c r="K37" s="192">
        <f>-K211-K212</f>
        <v>-23.130000000000553</v>
      </c>
      <c r="L37" s="192">
        <f>-L211-L212</f>
        <v>-106.13999999999947</v>
      </c>
      <c r="M37" s="193">
        <f>SUM(I37:L37)</f>
        <v>-133.77000000000004</v>
      </c>
      <c r="N37" s="192">
        <f>-N211-N212</f>
        <v>-1369.1100000000001</v>
      </c>
      <c r="O37" s="192">
        <f>-O211-O212</f>
        <v>-119.20200000000004</v>
      </c>
      <c r="P37" s="192">
        <f>-P211-P212</f>
        <v>-123.3300000000003</v>
      </c>
      <c r="Q37" s="192">
        <f>-Q211-Q212</f>
        <v>-106.05599999999994</v>
      </c>
      <c r="R37" s="193">
        <f>SUM(N37:Q37)</f>
        <v>-1717.6980000000005</v>
      </c>
      <c r="S37" s="192">
        <f>-S211-S212</f>
        <v>41.449999999998646</v>
      </c>
      <c r="T37" s="223">
        <f>-T211-T212</f>
        <v>-54.179999999999545</v>
      </c>
      <c r="U37" s="192">
        <f>-U211-U212</f>
        <v>-23.84348680449261</v>
      </c>
      <c r="V37" s="192">
        <f>-V211-V212</f>
        <v>-27.793754090978599</v>
      </c>
      <c r="W37" s="193">
        <f>SUM(S37:V37)</f>
        <v>-64.367240895472108</v>
      </c>
      <c r="X37" s="192">
        <f>-X211-X212</f>
        <v>-27.009630813249956</v>
      </c>
      <c r="Y37" s="192">
        <f>-Y211-Y212</f>
        <v>-23.203868639506183</v>
      </c>
      <c r="Z37" s="192">
        <f>-Z211-Z212</f>
        <v>-27.56510902480958</v>
      </c>
      <c r="AA37" s="192">
        <f>-AA211-AA212</f>
        <v>-28.395608423338913</v>
      </c>
      <c r="AB37" s="193">
        <f>SUM(X37:AA37)</f>
        <v>-106.17421690090463</v>
      </c>
    </row>
    <row r="38" spans="1:28" s="22" customFormat="1" x14ac:dyDescent="0.25">
      <c r="A38" s="36"/>
      <c r="B38" s="186" t="s">
        <v>170</v>
      </c>
      <c r="C38" s="187"/>
      <c r="D38" s="177">
        <f>+D28+D29+D30+D31-D33-D35+D37</f>
        <v>697.90000000000032</v>
      </c>
      <c r="E38" s="177">
        <f t="shared" ref="E38:AB38" si="86">+E28+E29+E30+E31-E33-E35+E37</f>
        <v>585.99999999999955</v>
      </c>
      <c r="F38" s="177">
        <f t="shared" si="86"/>
        <v>724.85699999999997</v>
      </c>
      <c r="G38" s="177">
        <f>+G28+G29+G30+G31-G33-G35+G37</f>
        <v>739.74386315395304</v>
      </c>
      <c r="H38" s="178">
        <f t="shared" si="86"/>
        <v>2748.5008631539554</v>
      </c>
      <c r="I38" s="177">
        <f t="shared" si="86"/>
        <v>763.29999999999984</v>
      </c>
      <c r="J38" s="177">
        <f t="shared" si="86"/>
        <v>664.59999999999923</v>
      </c>
      <c r="K38" s="177">
        <f t="shared" si="86"/>
        <v>802.67000000000019</v>
      </c>
      <c r="L38" s="177">
        <f t="shared" si="86"/>
        <v>798.16000000000008</v>
      </c>
      <c r="M38" s="178">
        <f t="shared" si="86"/>
        <v>3028.7299999999996</v>
      </c>
      <c r="N38" s="177">
        <f t="shared" si="86"/>
        <v>932.48999999999978</v>
      </c>
      <c r="O38" s="177">
        <f t="shared" si="86"/>
        <v>745.49800000000005</v>
      </c>
      <c r="P38" s="177">
        <f t="shared" si="86"/>
        <v>860.87</v>
      </c>
      <c r="Q38" s="177">
        <f t="shared" si="86"/>
        <v>836.19399999999996</v>
      </c>
      <c r="R38" s="178">
        <f t="shared" si="86"/>
        <v>3375.0520000000033</v>
      </c>
      <c r="S38" s="177">
        <f t="shared" si="86"/>
        <v>940.05000000000007</v>
      </c>
      <c r="T38" s="222">
        <f t="shared" si="86"/>
        <v>750.42000000000007</v>
      </c>
      <c r="U38" s="177">
        <f t="shared" si="86"/>
        <v>872.4088830277401</v>
      </c>
      <c r="V38" s="177">
        <f t="shared" si="86"/>
        <v>874.55160805334378</v>
      </c>
      <c r="W38" s="178">
        <f t="shared" si="86"/>
        <v>3437.4304910810861</v>
      </c>
      <c r="X38" s="177">
        <f t="shared" si="86"/>
        <v>940.2952327777158</v>
      </c>
      <c r="Y38" s="177">
        <f t="shared" si="86"/>
        <v>827.80452272714092</v>
      </c>
      <c r="Z38" s="177">
        <f t="shared" si="86"/>
        <v>993.20326924744529</v>
      </c>
      <c r="AA38" s="177">
        <f t="shared" si="86"/>
        <v>1014.4582191947941</v>
      </c>
      <c r="AB38" s="178">
        <f t="shared" si="86"/>
        <v>3775.7612439470945</v>
      </c>
    </row>
    <row r="39" spans="1:28" x14ac:dyDescent="0.25">
      <c r="B39" s="247" t="s">
        <v>0</v>
      </c>
      <c r="C39" s="248"/>
      <c r="D39" s="30">
        <v>1485.9</v>
      </c>
      <c r="E39" s="30">
        <v>1472.1</v>
      </c>
      <c r="F39" s="30">
        <v>1465.3</v>
      </c>
      <c r="G39" s="30">
        <v>1465.0365189162233</v>
      </c>
      <c r="H39" s="31">
        <f>+(D36/H36*D39)+(E36/H36*E39)+(F36/H36*F39)+(G36/H36*G39)</f>
        <v>1471.6400000000003</v>
      </c>
      <c r="I39" s="30">
        <v>1457.5</v>
      </c>
      <c r="J39" s="30">
        <v>1453.2</v>
      </c>
      <c r="K39" s="30">
        <v>1447.7</v>
      </c>
      <c r="L39" s="30">
        <v>1440.3879137603042</v>
      </c>
      <c r="M39" s="31">
        <f>+(I36/M36*I39)+(J36/M36*J39)+(K36/M36*K39)+(L36/M36*L39)</f>
        <v>1449.5</v>
      </c>
      <c r="N39" s="30">
        <v>1421</v>
      </c>
      <c r="O39" s="30">
        <v>1394.9</v>
      </c>
      <c r="P39" s="30">
        <v>1377.1</v>
      </c>
      <c r="Q39" s="30">
        <v>1264.3250347337173</v>
      </c>
      <c r="R39" s="31">
        <f>+(N36/R36*N39)+(O36/R36*O39)+(P36/R36*P39)+(Q36/R36*Q39)</f>
        <v>1382.7000000000003</v>
      </c>
      <c r="S39" s="30">
        <v>1242</v>
      </c>
      <c r="T39" s="216">
        <v>1239.2</v>
      </c>
      <c r="U39" s="30">
        <f>T39*(1+U190)-U194</f>
        <v>1220.9466926829268</v>
      </c>
      <c r="V39" s="30">
        <f>U39*(1+V190)-V194</f>
        <v>1212.8003507741751</v>
      </c>
      <c r="W39" s="31">
        <f>+(S36/W36*S39)+(T36/W36*T39)+(U36/W36*U39)+(V36/W36*V39)</f>
        <v>1228.3348335203261</v>
      </c>
      <c r="X39" s="30">
        <f>V39*(1+X190)-X194</f>
        <v>1209.3435985345468</v>
      </c>
      <c r="Y39" s="30">
        <f>X39*(1+Y190)-Y194</f>
        <v>1205.8799327904394</v>
      </c>
      <c r="Z39" s="30">
        <f>Y39*(1+Z190)-Z194</f>
        <v>1202.4093397148438</v>
      </c>
      <c r="AA39" s="30">
        <f>Z39*(1+AA190)-AA194</f>
        <v>1198.9318054530968</v>
      </c>
      <c r="AB39" s="31">
        <f>+(X36/AB36*X39)+(Y36/AB36*Y39)+(Z36/AB36*Z39)+(AA36/AB36*AA39)</f>
        <v>1203.9578342637603</v>
      </c>
    </row>
    <row r="40" spans="1:28" ht="15.75" customHeight="1" x14ac:dyDescent="0.25">
      <c r="B40" s="247" t="s">
        <v>1</v>
      </c>
      <c r="C40" s="248"/>
      <c r="D40" s="30">
        <v>1503.3</v>
      </c>
      <c r="E40" s="30">
        <v>1486.6</v>
      </c>
      <c r="F40" s="30">
        <v>1479.3</v>
      </c>
      <c r="G40" s="30">
        <v>1479.4877263079063</v>
      </c>
      <c r="H40" s="31">
        <f>+(D36/H36*D40)+(E36/H36*E40)+(F36/H36*F40)+(G36/H36*G40)</f>
        <v>1486.6999999999998</v>
      </c>
      <c r="I40" s="30">
        <v>1470.5</v>
      </c>
      <c r="J40" s="30">
        <v>1464.8</v>
      </c>
      <c r="K40" s="30">
        <v>1459.4</v>
      </c>
      <c r="L40" s="30">
        <v>1451.2</v>
      </c>
      <c r="M40" s="31">
        <f>+(I36/M36*I40)+(J36/M36*J40)+(K36/M36*K40)+(L36/M36*L40)</f>
        <v>1461.2734703782025</v>
      </c>
      <c r="N40" s="30">
        <v>1434.6</v>
      </c>
      <c r="O40" s="30">
        <v>1406.6</v>
      </c>
      <c r="P40" s="30">
        <v>1388.5</v>
      </c>
      <c r="Q40" s="30">
        <v>1348.7</v>
      </c>
      <c r="R40" s="31">
        <v>1394.6</v>
      </c>
      <c r="S40" s="30">
        <v>1253.4000000000001</v>
      </c>
      <c r="T40" s="216">
        <v>1250.7</v>
      </c>
      <c r="U40" s="30">
        <f>T40*(1+U191)-U194</f>
        <v>1232.469692682927</v>
      </c>
      <c r="V40" s="30">
        <f>U40*(1+V191)-V194</f>
        <v>1224.3463967741752</v>
      </c>
      <c r="W40" s="31">
        <f>+(S36/W36*S40)+(T36/W36*T40)+(U36/W36*U40)+(V36/W36*V40)</f>
        <v>1239.8270615520569</v>
      </c>
      <c r="X40" s="30">
        <f>V40*(1+X191)-X194</f>
        <v>1220.912736626547</v>
      </c>
      <c r="Y40" s="30">
        <f>X40*(1+Y191)-Y194</f>
        <v>1217.4722091586236</v>
      </c>
      <c r="Z40" s="30">
        <f>Y40*(1+Z191)-Z194</f>
        <v>1214.0248006357642</v>
      </c>
      <c r="AA40" s="30">
        <f>Z40*(1+AA191)-AA194</f>
        <v>1210.5704972958592</v>
      </c>
      <c r="AB40" s="31">
        <f>+(X36/AB36*X40)+(Y36/AB36*Y40)+(Z36/AB36*Z40)+(AA36/AB36*AA40)</f>
        <v>1215.5629507989379</v>
      </c>
    </row>
    <row r="41" spans="1:28" ht="15.75" customHeight="1" x14ac:dyDescent="0.25">
      <c r="B41" s="251" t="s">
        <v>8</v>
      </c>
      <c r="C41" s="252"/>
      <c r="D41" s="40">
        <f>D36/D39</f>
        <v>0.46274984857662044</v>
      </c>
      <c r="E41" s="40">
        <f t="shared" ref="E41:AB41" si="87">E36/E39</f>
        <v>0.39066639494599525</v>
      </c>
      <c r="F41" s="40">
        <f t="shared" si="87"/>
        <v>0.51463864055142261</v>
      </c>
      <c r="G41" s="40">
        <f t="shared" si="87"/>
        <v>0.54667579248637033</v>
      </c>
      <c r="H41" s="41">
        <f t="shared" si="87"/>
        <v>1.9146666304259194</v>
      </c>
      <c r="I41" s="40">
        <f t="shared" si="87"/>
        <v>0.51581475128644927</v>
      </c>
      <c r="J41" s="40">
        <f t="shared" si="87"/>
        <v>0.44921552436003254</v>
      </c>
      <c r="K41" s="40">
        <f t="shared" si="87"/>
        <v>0.47772328521102486</v>
      </c>
      <c r="L41" s="40">
        <f t="shared" si="87"/>
        <v>0.54742197741824039</v>
      </c>
      <c r="M41" s="41">
        <f t="shared" si="87"/>
        <v>1.9901345291479817</v>
      </c>
      <c r="N41" s="40">
        <f t="shared" si="87"/>
        <v>1.5835327234342009</v>
      </c>
      <c r="O41" s="40">
        <f t="shared" si="87"/>
        <v>0.47322388701699053</v>
      </c>
      <c r="P41" s="40">
        <f t="shared" si="87"/>
        <v>0.61905453489216489</v>
      </c>
      <c r="Q41" s="40">
        <f t="shared" si="87"/>
        <v>0.59774977101451632</v>
      </c>
      <c r="R41" s="41">
        <f t="shared" si="87"/>
        <v>3.2679178419035244</v>
      </c>
      <c r="S41" s="40">
        <f t="shared" si="87"/>
        <v>0.61239935587761785</v>
      </c>
      <c r="T41" s="224">
        <f t="shared" si="87"/>
        <v>0.53518398967075509</v>
      </c>
      <c r="U41" s="40">
        <f t="shared" si="87"/>
        <v>0.6364200341149221</v>
      </c>
      <c r="V41" s="40">
        <f t="shared" si="87"/>
        <v>0.62943302349981844</v>
      </c>
      <c r="W41" s="41">
        <f t="shared" si="87"/>
        <v>2.4131950398279991</v>
      </c>
      <c r="X41" s="40">
        <f t="shared" si="87"/>
        <v>0.68818879145118417</v>
      </c>
      <c r="Y41" s="40">
        <f t="shared" si="87"/>
        <v>0.60950433636318291</v>
      </c>
      <c r="Z41" s="40">
        <f t="shared" si="87"/>
        <v>0.73431135636188616</v>
      </c>
      <c r="AA41" s="40">
        <f t="shared" si="87"/>
        <v>0.7513986879020047</v>
      </c>
      <c r="AB41" s="41">
        <f t="shared" si="87"/>
        <v>2.7833735376560802</v>
      </c>
    </row>
    <row r="42" spans="1:28" x14ac:dyDescent="0.25">
      <c r="B42" s="251" t="s">
        <v>9</v>
      </c>
      <c r="C42" s="252"/>
      <c r="D42" s="40">
        <f>D36/D40</f>
        <v>0.45739373378567177</v>
      </c>
      <c r="E42" s="40">
        <f t="shared" ref="E42:AB42" si="88">E36/E40</f>
        <v>0.38685591282120246</v>
      </c>
      <c r="F42" s="40">
        <f t="shared" si="88"/>
        <v>0.50976813357669137</v>
      </c>
      <c r="G42" s="40">
        <f t="shared" si="88"/>
        <v>0.54133602175846562</v>
      </c>
      <c r="H42" s="41">
        <f t="shared" si="88"/>
        <v>1.8952714064707077</v>
      </c>
      <c r="I42" s="40">
        <f t="shared" si="88"/>
        <v>0.51125467528051671</v>
      </c>
      <c r="J42" s="40">
        <f t="shared" si="88"/>
        <v>0.4456581103222278</v>
      </c>
      <c r="K42" s="40">
        <f t="shared" si="88"/>
        <v>0.47389338084144217</v>
      </c>
      <c r="L42" s="40">
        <f t="shared" si="88"/>
        <v>0.54334343991179679</v>
      </c>
      <c r="M42" s="41">
        <f t="shared" si="88"/>
        <v>1.9741000288285462</v>
      </c>
      <c r="N42" s="40">
        <f t="shared" si="88"/>
        <v>1.5685208420465631</v>
      </c>
      <c r="O42" s="40">
        <f t="shared" si="88"/>
        <v>0.46928764396416905</v>
      </c>
      <c r="P42" s="40">
        <f t="shared" si="88"/>
        <v>0.61397191213539803</v>
      </c>
      <c r="Q42" s="40">
        <f t="shared" si="88"/>
        <v>0.56035441536294195</v>
      </c>
      <c r="R42" s="41">
        <f t="shared" si="88"/>
        <v>3.2400329843682805</v>
      </c>
      <c r="S42" s="40">
        <f t="shared" si="88"/>
        <v>0.60682942396681139</v>
      </c>
      <c r="T42" s="224">
        <f t="shared" si="88"/>
        <v>0.53026305269049312</v>
      </c>
      <c r="U42" s="40">
        <f t="shared" si="88"/>
        <v>0.63046981229880406</v>
      </c>
      <c r="V42" s="40">
        <f t="shared" si="88"/>
        <v>0.62349723387165767</v>
      </c>
      <c r="W42" s="209">
        <f t="shared" si="88"/>
        <v>2.3908266075338789</v>
      </c>
      <c r="X42" s="40">
        <f t="shared" si="88"/>
        <v>0.68166764467073182</v>
      </c>
      <c r="Y42" s="40">
        <f t="shared" si="88"/>
        <v>0.60370088338776617</v>
      </c>
      <c r="Z42" s="40">
        <f t="shared" si="88"/>
        <v>0.7272856639220423</v>
      </c>
      <c r="AA42" s="40">
        <f t="shared" si="88"/>
        <v>0.74417457513940022</v>
      </c>
      <c r="AB42" s="41">
        <f t="shared" si="88"/>
        <v>2.7568003566914929</v>
      </c>
    </row>
    <row r="43" spans="1:28" x14ac:dyDescent="0.25">
      <c r="B43" s="194" t="s">
        <v>171</v>
      </c>
      <c r="C43" s="214"/>
      <c r="D43" s="179">
        <f>+D38/D40</f>
        <v>0.46424532694738263</v>
      </c>
      <c r="E43" s="179">
        <f t="shared" ref="E43:AB43" si="89">+E38/E40</f>
        <v>0.39418808018296758</v>
      </c>
      <c r="F43" s="179">
        <f t="shared" si="89"/>
        <v>0.49</v>
      </c>
      <c r="G43" s="179">
        <f>+G38/G40</f>
        <v>0.49999999999999994</v>
      </c>
      <c r="H43" s="180">
        <f t="shared" si="89"/>
        <v>1.8487259454859459</v>
      </c>
      <c r="I43" s="179">
        <f t="shared" si="89"/>
        <v>0.51907514450867043</v>
      </c>
      <c r="J43" s="179">
        <f t="shared" si="89"/>
        <v>0.45371381758601803</v>
      </c>
      <c r="K43" s="179">
        <f t="shared" si="89"/>
        <v>0.55000000000000004</v>
      </c>
      <c r="L43" s="179">
        <f>+L38/L40</f>
        <v>0.55000000000000004</v>
      </c>
      <c r="M43" s="180">
        <f t="shared" si="89"/>
        <v>2.0726647416763901</v>
      </c>
      <c r="N43" s="179">
        <f t="shared" si="89"/>
        <v>0.64999999999999991</v>
      </c>
      <c r="O43" s="179">
        <f t="shared" si="89"/>
        <v>0.53</v>
      </c>
      <c r="P43" s="179">
        <f t="shared" si="89"/>
        <v>0.62</v>
      </c>
      <c r="Q43" s="179">
        <f t="shared" si="89"/>
        <v>0.62</v>
      </c>
      <c r="R43" s="180">
        <f t="shared" si="89"/>
        <v>2.4200860461781182</v>
      </c>
      <c r="S43" s="179">
        <f t="shared" si="89"/>
        <v>0.75</v>
      </c>
      <c r="T43" s="225">
        <f t="shared" si="89"/>
        <v>0.60000000000000009</v>
      </c>
      <c r="U43" s="241">
        <f t="shared" si="89"/>
        <v>0.70785422814626697</v>
      </c>
      <c r="V43" s="241">
        <f t="shared" si="89"/>
        <v>0.71430079784410117</v>
      </c>
      <c r="W43" s="210">
        <f t="shared" si="89"/>
        <v>2.7725080357400782</v>
      </c>
      <c r="X43" s="225">
        <f t="shared" si="89"/>
        <v>0.77015760796779487</v>
      </c>
      <c r="Y43" s="225">
        <f t="shared" si="89"/>
        <v>0.67993709959032567</v>
      </c>
      <c r="Z43" s="225">
        <f t="shared" si="89"/>
        <v>0.81810789098156933</v>
      </c>
      <c r="AA43" s="225">
        <f t="shared" si="89"/>
        <v>0.83800011768076654</v>
      </c>
      <c r="AB43" s="242">
        <f t="shared" si="89"/>
        <v>3.1061832227326827</v>
      </c>
    </row>
    <row r="44" spans="1:28" x14ac:dyDescent="0.25">
      <c r="B44" s="202" t="s">
        <v>83</v>
      </c>
      <c r="C44" s="215"/>
      <c r="D44" s="61">
        <v>0.2</v>
      </c>
      <c r="E44" s="61">
        <v>0.2</v>
      </c>
      <c r="F44" s="61">
        <v>0.2</v>
      </c>
      <c r="G44" s="61">
        <v>0.25</v>
      </c>
      <c r="H44" s="96">
        <f>+SUM(D44:G44)</f>
        <v>0.85000000000000009</v>
      </c>
      <c r="I44" s="61">
        <v>0.25</v>
      </c>
      <c r="J44" s="61">
        <v>0.25</v>
      </c>
      <c r="K44" s="61">
        <v>0.25</v>
      </c>
      <c r="L44" s="61">
        <v>0.3</v>
      </c>
      <c r="M44" s="96">
        <f>+SUM(I44:L44)</f>
        <v>1.05</v>
      </c>
      <c r="N44" s="61">
        <v>0.3</v>
      </c>
      <c r="O44" s="61">
        <v>0.3</v>
      </c>
      <c r="P44" s="61">
        <v>0.36</v>
      </c>
      <c r="Q44" s="61">
        <v>0.36</v>
      </c>
      <c r="R44" s="96">
        <f>+SUM(N44:Q44)</f>
        <v>1.3199999999999998</v>
      </c>
      <c r="S44" s="61">
        <v>0.36</v>
      </c>
      <c r="T44" s="226">
        <v>0.36</v>
      </c>
      <c r="U44" s="183">
        <v>0.36</v>
      </c>
      <c r="V44" s="183">
        <f>1.2*U44</f>
        <v>0.432</v>
      </c>
      <c r="W44" s="96">
        <f>+SUM(S44:V44)</f>
        <v>1.512</v>
      </c>
      <c r="X44" s="183">
        <f>+V44</f>
        <v>0.432</v>
      </c>
      <c r="Y44" s="183">
        <f>+X44</f>
        <v>0.432</v>
      </c>
      <c r="Z44" s="183">
        <f>+Y44</f>
        <v>0.432</v>
      </c>
      <c r="AA44" s="183">
        <f>1.1*Z44</f>
        <v>0.47520000000000001</v>
      </c>
      <c r="AB44" s="96">
        <f>+SUM(X44:AA44)</f>
        <v>1.7712000000000001</v>
      </c>
    </row>
    <row r="45" spans="1:28" x14ac:dyDescent="0.25">
      <c r="B45" s="212" t="s">
        <v>14</v>
      </c>
      <c r="C45" s="46"/>
      <c r="D45" s="46"/>
      <c r="E45" s="46"/>
      <c r="F45" s="46"/>
      <c r="G45" s="195"/>
      <c r="H45" s="13"/>
      <c r="I45" s="46"/>
      <c r="J45" s="46"/>
      <c r="K45" s="46"/>
      <c r="L45" s="181"/>
      <c r="M45" s="17"/>
      <c r="N45" s="182"/>
      <c r="O45" s="182"/>
      <c r="P45" s="184"/>
      <c r="Q45" s="182"/>
      <c r="R45" s="3"/>
      <c r="S45" s="78"/>
      <c r="T45" s="184"/>
      <c r="U45" s="184"/>
      <c r="V45" s="184"/>
      <c r="W45" s="16"/>
      <c r="X45" s="184"/>
      <c r="Y45" s="46"/>
      <c r="Z45" s="46"/>
      <c r="AA45" s="184"/>
      <c r="AB45" s="16"/>
    </row>
    <row r="46" spans="1:28" ht="15.75" x14ac:dyDescent="0.25">
      <c r="B46" s="245" t="s">
        <v>20</v>
      </c>
      <c r="C46" s="246"/>
      <c r="D46" s="27" t="s">
        <v>42</v>
      </c>
      <c r="E46" s="27" t="s">
        <v>43</v>
      </c>
      <c r="F46" s="27" t="s">
        <v>28</v>
      </c>
      <c r="G46" s="27" t="s">
        <v>29</v>
      </c>
      <c r="H46" s="74" t="s">
        <v>29</v>
      </c>
      <c r="I46" s="27" t="s">
        <v>30</v>
      </c>
      <c r="J46" s="27" t="s">
        <v>36</v>
      </c>
      <c r="K46" s="27" t="s">
        <v>25</v>
      </c>
      <c r="L46" s="27" t="s">
        <v>26</v>
      </c>
      <c r="M46" s="74" t="s">
        <v>26</v>
      </c>
      <c r="N46" s="27" t="s">
        <v>27</v>
      </c>
      <c r="O46" s="27" t="s">
        <v>49</v>
      </c>
      <c r="P46" s="27" t="s">
        <v>22</v>
      </c>
      <c r="Q46" s="27" t="s">
        <v>23</v>
      </c>
      <c r="R46" s="74" t="s">
        <v>23</v>
      </c>
      <c r="S46" s="27" t="s">
        <v>24</v>
      </c>
      <c r="T46" s="27" t="s">
        <v>183</v>
      </c>
      <c r="U46" s="29" t="s">
        <v>56</v>
      </c>
      <c r="V46" s="29" t="s">
        <v>57</v>
      </c>
      <c r="W46" s="76" t="s">
        <v>57</v>
      </c>
      <c r="X46" s="29" t="s">
        <v>58</v>
      </c>
      <c r="Y46" s="29" t="s">
        <v>59</v>
      </c>
      <c r="Z46" s="29" t="s">
        <v>60</v>
      </c>
      <c r="AA46" s="29" t="s">
        <v>61</v>
      </c>
      <c r="AB46" s="76" t="s">
        <v>61</v>
      </c>
    </row>
    <row r="47" spans="1:28" ht="17.25" x14ac:dyDescent="0.4">
      <c r="B47" s="249"/>
      <c r="C47" s="250"/>
      <c r="D47" s="28" t="s">
        <v>44</v>
      </c>
      <c r="E47" s="28" t="s">
        <v>45</v>
      </c>
      <c r="F47" s="28" t="s">
        <v>46</v>
      </c>
      <c r="G47" s="28" t="s">
        <v>47</v>
      </c>
      <c r="H47" s="75" t="s">
        <v>48</v>
      </c>
      <c r="I47" s="28" t="s">
        <v>37</v>
      </c>
      <c r="J47" s="28" t="s">
        <v>38</v>
      </c>
      <c r="K47" s="28" t="s">
        <v>39</v>
      </c>
      <c r="L47" s="28" t="s">
        <v>40</v>
      </c>
      <c r="M47" s="75" t="s">
        <v>41</v>
      </c>
      <c r="N47" s="28" t="s">
        <v>50</v>
      </c>
      <c r="O47" s="28" t="s">
        <v>51</v>
      </c>
      <c r="P47" s="28" t="s">
        <v>52</v>
      </c>
      <c r="Q47" s="28" t="s">
        <v>53</v>
      </c>
      <c r="R47" s="75" t="s">
        <v>54</v>
      </c>
      <c r="S47" s="28" t="s">
        <v>55</v>
      </c>
      <c r="T47" s="28" t="s">
        <v>182</v>
      </c>
      <c r="U47" s="26" t="s">
        <v>62</v>
      </c>
      <c r="V47" s="26" t="s">
        <v>63</v>
      </c>
      <c r="W47" s="77" t="s">
        <v>64</v>
      </c>
      <c r="X47" s="26" t="s">
        <v>65</v>
      </c>
      <c r="Y47" s="26" t="s">
        <v>66</v>
      </c>
      <c r="Z47" s="26" t="s">
        <v>67</v>
      </c>
      <c r="AA47" s="26" t="s">
        <v>68</v>
      </c>
      <c r="AB47" s="77" t="s">
        <v>69</v>
      </c>
    </row>
    <row r="48" spans="1:28" ht="18" x14ac:dyDescent="0.4">
      <c r="B48" s="282" t="s">
        <v>84</v>
      </c>
      <c r="C48" s="283"/>
      <c r="D48" s="28"/>
      <c r="E48" s="28"/>
      <c r="F48" s="28"/>
      <c r="G48" s="28"/>
      <c r="H48" s="75"/>
      <c r="I48" s="28"/>
      <c r="J48" s="28"/>
      <c r="K48" s="28"/>
      <c r="L48" s="28"/>
      <c r="M48" s="75"/>
      <c r="N48" s="28"/>
      <c r="O48" s="28"/>
      <c r="P48" s="28"/>
      <c r="Q48" s="28"/>
      <c r="R48" s="75"/>
      <c r="S48" s="28"/>
      <c r="T48" s="28"/>
      <c r="U48" s="26"/>
      <c r="V48" s="26"/>
      <c r="W48" s="77"/>
      <c r="X48" s="26"/>
      <c r="Y48" s="26"/>
      <c r="Z48" s="26"/>
      <c r="AA48" s="26"/>
      <c r="AB48" s="77"/>
    </row>
    <row r="49" spans="1:28" s="22" customFormat="1" outlineLevel="1" x14ac:dyDescent="0.25">
      <c r="B49" s="257" t="s">
        <v>86</v>
      </c>
      <c r="C49" s="258"/>
      <c r="D49" s="37">
        <v>8752</v>
      </c>
      <c r="E49" s="37">
        <v>8790</v>
      </c>
      <c r="F49" s="37">
        <v>8875</v>
      </c>
      <c r="G49" s="37">
        <v>9019</v>
      </c>
      <c r="H49" s="114"/>
      <c r="I49" s="37">
        <v>9094</v>
      </c>
      <c r="J49" s="37">
        <v>9176</v>
      </c>
      <c r="K49" s="37">
        <v>9301</v>
      </c>
      <c r="L49" s="37">
        <v>9413</v>
      </c>
      <c r="M49" s="115"/>
      <c r="N49" s="37">
        <v>9525</v>
      </c>
      <c r="O49" s="37">
        <v>9496</v>
      </c>
      <c r="P49" s="37">
        <v>9590</v>
      </c>
      <c r="Q49" s="37">
        <v>9684</v>
      </c>
      <c r="R49" s="115"/>
      <c r="S49" s="37">
        <v>9768</v>
      </c>
      <c r="T49" s="37">
        <v>9767</v>
      </c>
      <c r="U49" s="37">
        <f t="shared" ref="U49:V49" si="90">+T49+U50</f>
        <v>9857</v>
      </c>
      <c r="V49" s="37">
        <f t="shared" si="90"/>
        <v>9922</v>
      </c>
      <c r="W49" s="115"/>
      <c r="X49" s="37">
        <f>+V49+X50</f>
        <v>9981.5</v>
      </c>
      <c r="Y49" s="37">
        <f>+X49+Y50</f>
        <v>10034.875</v>
      </c>
      <c r="Z49" s="37">
        <f t="shared" ref="Z49" si="91">+Y49+Z50</f>
        <v>10101.84375</v>
      </c>
      <c r="AA49" s="37">
        <f t="shared" ref="AA49" si="92">+Z49+AA50</f>
        <v>10163.0546875</v>
      </c>
      <c r="AB49" s="115"/>
    </row>
    <row r="50" spans="1:28" outlineLevel="1" x14ac:dyDescent="0.25">
      <c r="B50" s="43" t="s">
        <v>91</v>
      </c>
      <c r="C50" s="65"/>
      <c r="D50" s="30"/>
      <c r="E50" s="30"/>
      <c r="F50" s="30"/>
      <c r="G50" s="30"/>
      <c r="H50" s="45"/>
      <c r="I50" s="30">
        <f>+I49-G49</f>
        <v>75</v>
      </c>
      <c r="J50" s="30">
        <f>+J49-I49</f>
        <v>82</v>
      </c>
      <c r="K50" s="30">
        <f>+K49-J49</f>
        <v>125</v>
      </c>
      <c r="L50" s="30">
        <f>+L49-K49</f>
        <v>112</v>
      </c>
      <c r="M50" s="44">
        <f>+SUM(I50:L50)</f>
        <v>394</v>
      </c>
      <c r="N50" s="30">
        <f>+N49-L49</f>
        <v>112</v>
      </c>
      <c r="O50" s="30">
        <f>+O49-N49</f>
        <v>-29</v>
      </c>
      <c r="P50" s="30">
        <f>+P49-O49</f>
        <v>94</v>
      </c>
      <c r="Q50" s="30">
        <f>+Q49-P49</f>
        <v>94</v>
      </c>
      <c r="R50" s="44">
        <f>+SUM(N50:Q50)</f>
        <v>271</v>
      </c>
      <c r="S50" s="30">
        <f>+S49-Q49</f>
        <v>84</v>
      </c>
      <c r="T50" s="216">
        <v>-1</v>
      </c>
      <c r="U50" s="53">
        <v>90</v>
      </c>
      <c r="V50" s="53">
        <v>65</v>
      </c>
      <c r="W50" s="44">
        <f>+SUM(S50:V50)</f>
        <v>238</v>
      </c>
      <c r="X50" s="53">
        <f>AVERAGE(S50,T50,U50,V50)</f>
        <v>59.5</v>
      </c>
      <c r="Y50" s="53">
        <f>AVERAGE(T50,U50,V50,X50)</f>
        <v>53.375</v>
      </c>
      <c r="Z50" s="53">
        <f>AVERAGE(U50,V50,X50,Y50)</f>
        <v>66.96875</v>
      </c>
      <c r="AA50" s="53">
        <f>AVERAGE(V50,X50,Y50,Z50)</f>
        <v>61.2109375</v>
      </c>
      <c r="AB50" s="44">
        <f>+SUM(X50:AA50)</f>
        <v>241.0546875</v>
      </c>
    </row>
    <row r="51" spans="1:28" s="127" customFormat="1" outlineLevel="1" x14ac:dyDescent="0.25">
      <c r="A51" s="233"/>
      <c r="B51" s="128" t="s">
        <v>92</v>
      </c>
      <c r="C51" s="129"/>
      <c r="D51" s="130"/>
      <c r="E51" s="130"/>
      <c r="F51" s="130"/>
      <c r="G51" s="130"/>
      <c r="H51" s="131"/>
      <c r="I51" s="132">
        <f>D49</f>
        <v>8752</v>
      </c>
      <c r="J51" s="132">
        <f>E49</f>
        <v>8790</v>
      </c>
      <c r="K51" s="132">
        <f>F49</f>
        <v>8875</v>
      </c>
      <c r="L51" s="132">
        <f>G49</f>
        <v>9019</v>
      </c>
      <c r="M51" s="133"/>
      <c r="N51" s="132">
        <f>I49</f>
        <v>9094</v>
      </c>
      <c r="O51" s="132">
        <f>J49</f>
        <v>9176</v>
      </c>
      <c r="P51" s="132">
        <f>K49</f>
        <v>9301</v>
      </c>
      <c r="Q51" s="132">
        <f>L49</f>
        <v>9413</v>
      </c>
      <c r="R51" s="133"/>
      <c r="S51" s="132">
        <f>N49</f>
        <v>9525</v>
      </c>
      <c r="T51" s="132">
        <f>O49</f>
        <v>9496</v>
      </c>
      <c r="U51" s="132">
        <f>P49</f>
        <v>9590</v>
      </c>
      <c r="V51" s="132">
        <f>Q49</f>
        <v>9684</v>
      </c>
      <c r="W51" s="133"/>
      <c r="X51" s="132">
        <f>S49</f>
        <v>9768</v>
      </c>
      <c r="Y51" s="132">
        <f>T49</f>
        <v>9767</v>
      </c>
      <c r="Z51" s="132">
        <f>U49</f>
        <v>9857</v>
      </c>
      <c r="AA51" s="132">
        <f>V49</f>
        <v>9922</v>
      </c>
      <c r="AB51" s="133"/>
    </row>
    <row r="52" spans="1:28" s="127" customFormat="1" outlineLevel="1" x14ac:dyDescent="0.25">
      <c r="A52" s="233"/>
      <c r="B52" s="128" t="s">
        <v>93</v>
      </c>
      <c r="C52" s="129"/>
      <c r="D52" s="130"/>
      <c r="E52" s="130"/>
      <c r="F52" s="130"/>
      <c r="G52" s="130"/>
      <c r="H52" s="131"/>
      <c r="I52" s="134">
        <v>0.39434191591821333</v>
      </c>
      <c r="J52" s="134">
        <v>0.36967587398388457</v>
      </c>
      <c r="K52" s="134">
        <v>0.38907942012600844</v>
      </c>
      <c r="L52" s="134">
        <v>0.37579999999999997</v>
      </c>
      <c r="M52" s="133"/>
      <c r="N52" s="134">
        <f>I52*(1+N55)</f>
        <v>0.40222875423657761</v>
      </c>
      <c r="O52" s="134">
        <f>+J52*(1+O55)</f>
        <v>0.37706939146356228</v>
      </c>
      <c r="P52" s="134">
        <f t="shared" ref="P52" si="93">K52*(1+P55)</f>
        <v>0.39297021432726853</v>
      </c>
      <c r="Q52" s="134">
        <f>L52*(1+Q55)</f>
        <v>0.39083199999999996</v>
      </c>
      <c r="R52" s="133"/>
      <c r="S52" s="134">
        <f>N52*(1+S55)</f>
        <v>0.41831790440604072</v>
      </c>
      <c r="T52" s="134">
        <f>+O52*(1+T55)</f>
        <v>0.39328337529649543</v>
      </c>
      <c r="U52" s="134">
        <f t="shared" ref="U52:V52" si="94">+P52*(1+U55)</f>
        <v>0.40633120161439568</v>
      </c>
      <c r="V52" s="134">
        <f t="shared" si="94"/>
        <v>0.40802860799999996</v>
      </c>
      <c r="W52" s="133"/>
      <c r="X52" s="134">
        <f>+S52*(1+X55)</f>
        <v>0.42502239732695235</v>
      </c>
      <c r="Y52" s="134">
        <f>+T52*(1+Y55)</f>
        <v>0.41544404859363149</v>
      </c>
      <c r="Z52" s="134">
        <f t="shared" ref="Z52" si="95">+U52*(1+Z55)</f>
        <v>0.43078011778369163</v>
      </c>
      <c r="AA52" s="134">
        <f t="shared" ref="AA52" si="96">+V52*(1+AA55)</f>
        <v>0.43524917605309071</v>
      </c>
      <c r="AB52" s="133"/>
    </row>
    <row r="53" spans="1:28" outlineLevel="1" x14ac:dyDescent="0.25">
      <c r="A53" s="213"/>
      <c r="B53" s="43" t="s">
        <v>89</v>
      </c>
      <c r="C53" s="100"/>
      <c r="D53" s="50">
        <v>0.04</v>
      </c>
      <c r="E53" s="50">
        <v>0.03</v>
      </c>
      <c r="F53" s="50">
        <v>0</v>
      </c>
      <c r="G53" s="50">
        <v>-0.01</v>
      </c>
      <c r="H53" s="48">
        <v>0.01</v>
      </c>
      <c r="I53" s="50">
        <v>-0.02</v>
      </c>
      <c r="J53" s="50">
        <v>-0.01</v>
      </c>
      <c r="K53" s="50">
        <v>0</v>
      </c>
      <c r="L53" s="50">
        <v>0.01</v>
      </c>
      <c r="M53" s="48">
        <v>0</v>
      </c>
      <c r="N53" s="50">
        <v>0</v>
      </c>
      <c r="O53" s="50">
        <v>0</v>
      </c>
      <c r="P53" s="50">
        <v>-0.02</v>
      </c>
      <c r="Q53" s="50">
        <v>-0.01</v>
      </c>
      <c r="R53" s="48">
        <v>-0.01</v>
      </c>
      <c r="S53" s="50">
        <v>0.04</v>
      </c>
      <c r="T53" s="50">
        <v>0</v>
      </c>
      <c r="U53" s="50"/>
      <c r="V53" s="50"/>
      <c r="W53" s="48"/>
      <c r="X53" s="50"/>
      <c r="Y53" s="50"/>
      <c r="Z53" s="50"/>
      <c r="AA53" s="50"/>
      <c r="AB53" s="48"/>
    </row>
    <row r="54" spans="1:28" outlineLevel="1" x14ac:dyDescent="0.25">
      <c r="A54" s="213"/>
      <c r="B54" s="43" t="s">
        <v>88</v>
      </c>
      <c r="C54" s="100"/>
      <c r="D54" s="120">
        <v>0.05</v>
      </c>
      <c r="E54" s="120">
        <v>0.05</v>
      </c>
      <c r="F54" s="120">
        <v>0.04</v>
      </c>
      <c r="G54" s="120">
        <v>0.06</v>
      </c>
      <c r="H54" s="121">
        <v>0.05</v>
      </c>
      <c r="I54" s="120">
        <v>0.05</v>
      </c>
      <c r="J54" s="120">
        <v>0.04</v>
      </c>
      <c r="K54" s="120">
        <v>0.05</v>
      </c>
      <c r="L54" s="120">
        <v>0.02</v>
      </c>
      <c r="M54" s="121">
        <v>0.04</v>
      </c>
      <c r="N54" s="120">
        <v>0.02</v>
      </c>
      <c r="O54" s="120">
        <v>0.03</v>
      </c>
      <c r="P54" s="120">
        <v>0.04</v>
      </c>
      <c r="Q54" s="120">
        <v>0.05</v>
      </c>
      <c r="R54" s="121">
        <v>0.03</v>
      </c>
      <c r="S54" s="120">
        <v>0</v>
      </c>
      <c r="T54" s="120">
        <v>0.04</v>
      </c>
      <c r="U54" s="120"/>
      <c r="V54" s="120"/>
      <c r="W54" s="121"/>
      <c r="X54" s="120"/>
      <c r="Y54" s="120"/>
      <c r="Z54" s="120"/>
      <c r="AA54" s="120"/>
      <c r="AB54" s="121"/>
    </row>
    <row r="55" spans="1:28" s="22" customFormat="1" outlineLevel="1" x14ac:dyDescent="0.25">
      <c r="A55" s="228"/>
      <c r="B55" s="73" t="s">
        <v>90</v>
      </c>
      <c r="C55" s="67"/>
      <c r="D55" s="119">
        <v>0.09</v>
      </c>
      <c r="E55" s="119">
        <v>7.0000000000000007E-2</v>
      </c>
      <c r="F55" s="119">
        <v>0.04</v>
      </c>
      <c r="G55" s="119">
        <v>0.05</v>
      </c>
      <c r="H55" s="122">
        <v>0.06</v>
      </c>
      <c r="I55" s="119">
        <v>0.03</v>
      </c>
      <c r="J55" s="119">
        <v>0.03</v>
      </c>
      <c r="K55" s="119">
        <v>0.05</v>
      </c>
      <c r="L55" s="119">
        <v>0.03</v>
      </c>
      <c r="M55" s="122">
        <v>0.03</v>
      </c>
      <c r="N55" s="119">
        <v>0.02</v>
      </c>
      <c r="O55" s="119">
        <v>0.02</v>
      </c>
      <c r="P55" s="119">
        <v>0.01</v>
      </c>
      <c r="Q55" s="119">
        <v>0.04</v>
      </c>
      <c r="R55" s="122">
        <v>0.02</v>
      </c>
      <c r="S55" s="119">
        <v>0.04</v>
      </c>
      <c r="T55" s="227">
        <v>4.2999999999999997E-2</v>
      </c>
      <c r="U55" s="237">
        <v>3.4000000000000002E-2</v>
      </c>
      <c r="V55" s="237">
        <v>4.3999999999999997E-2</v>
      </c>
      <c r="W55" s="122"/>
      <c r="X55" s="125">
        <f>AVERAGE(V55,U55,T55,S55)-2.4222732578991%</f>
        <v>1.6027267421009E-2</v>
      </c>
      <c r="Y55" s="238">
        <f>AVERAGE(X55,V55,U55,T55)+2.20910348189489%</f>
        <v>5.6347851674201158E-2</v>
      </c>
      <c r="Z55" s="125">
        <f>AVERAGE(Y55,X55,V55,U55)+2.25761409021335%</f>
        <v>6.0169920675936045E-2</v>
      </c>
      <c r="AA55" s="125">
        <f>AVERAGE(Z55,Y55,X55,V55)+2.25761409021335%</f>
        <v>6.6712400844920056E-2</v>
      </c>
      <c r="AB55" s="122"/>
    </row>
    <row r="56" spans="1:28" ht="17.25" outlineLevel="1" x14ac:dyDescent="0.4">
      <c r="A56" s="213"/>
      <c r="B56" s="101" t="s">
        <v>151</v>
      </c>
      <c r="C56" s="100"/>
      <c r="D56" s="30"/>
      <c r="E56" s="30"/>
      <c r="F56" s="30"/>
      <c r="G56" s="30"/>
      <c r="H56" s="45"/>
      <c r="I56" s="52">
        <f>+(I49-I51)*I58-24</f>
        <v>109.91928744226965</v>
      </c>
      <c r="J56" s="52">
        <f>+(J49-J51)*J58-55</f>
        <v>85.28676983435048</v>
      </c>
      <c r="K56" s="52">
        <f>+(K49-K51)*K58-40</f>
        <v>123.80458015267175</v>
      </c>
      <c r="L56" s="52">
        <f>+(L49-L51)*L58-13</f>
        <v>134.50827578880273</v>
      </c>
      <c r="M56" s="94"/>
      <c r="N56" s="52">
        <f>+(N49-N51)*N58-42</f>
        <v>129.35926509186353</v>
      </c>
      <c r="O56" s="52">
        <f>+(O49-O51)*O58-15</f>
        <v>105.12805391743893</v>
      </c>
      <c r="P56" s="52">
        <f>+(P49-P51)*P58</f>
        <v>113.56584984358707</v>
      </c>
      <c r="Q56" s="52">
        <f>+(Q49-Q51)*Q58</f>
        <v>105.91219537381248</v>
      </c>
      <c r="R56" s="20"/>
      <c r="S56" s="52">
        <f>+(S49-S51)*S58</f>
        <v>101.64057125307124</v>
      </c>
      <c r="T56" s="52">
        <f>+(T49-T51)*T58</f>
        <v>106.58537933858912</v>
      </c>
      <c r="U56" s="52">
        <f>AVERAGE(T56,S56,Q56,P56)</f>
        <v>106.92599895226499</v>
      </c>
      <c r="V56" s="52">
        <f>AVERAGE(U56,T56,S56,Q56)</f>
        <v>105.26603622943446</v>
      </c>
      <c r="W56" s="20"/>
      <c r="X56" s="52">
        <f>AVERAGE(V56,U56,T56,S56)</f>
        <v>105.10449644333995</v>
      </c>
      <c r="Y56" s="52">
        <f>AVERAGE(X56,V56,U56,T56)</f>
        <v>105.97047774090713</v>
      </c>
      <c r="Z56" s="52">
        <f>AVERAGE(Y56,X56,V56,U56)</f>
        <v>105.81675234148663</v>
      </c>
      <c r="AA56" s="52">
        <f>AVERAGE(Z56,Y56,X56,V56)</f>
        <v>105.53944068879204</v>
      </c>
      <c r="AB56" s="20"/>
    </row>
    <row r="57" spans="1:28" s="22" customFormat="1" outlineLevel="1" x14ac:dyDescent="0.25">
      <c r="A57" s="228"/>
      <c r="B57" s="251" t="s">
        <v>101</v>
      </c>
      <c r="C57" s="252"/>
      <c r="D57" s="106"/>
      <c r="E57" s="106"/>
      <c r="F57" s="106"/>
      <c r="G57" s="106"/>
      <c r="H57" s="123"/>
      <c r="I57" s="106">
        <v>3561</v>
      </c>
      <c r="J57" s="106">
        <v>3334.9</v>
      </c>
      <c r="K57" s="106">
        <v>3576.4</v>
      </c>
      <c r="L57" s="106">
        <v>3524.1</v>
      </c>
      <c r="M57" s="204">
        <f>SUM(I57:L57)</f>
        <v>13996.4</v>
      </c>
      <c r="N57" s="106">
        <v>3787</v>
      </c>
      <c r="O57" s="106">
        <v>3564.8</v>
      </c>
      <c r="P57" s="106">
        <v>3768.5</v>
      </c>
      <c r="Q57" s="106">
        <v>3784.7</v>
      </c>
      <c r="R57" s="204">
        <f>SUM(N57:Q57)</f>
        <v>14905</v>
      </c>
      <c r="S57" s="106">
        <v>4085.7</v>
      </c>
      <c r="T57" s="106">
        <v>3841.4</v>
      </c>
      <c r="U57" s="106">
        <f t="shared" ref="U57:V57" si="97">+U51*U52+U56</f>
        <v>4003.6422224343196</v>
      </c>
      <c r="V57" s="106">
        <f t="shared" si="97"/>
        <v>4056.6150761014342</v>
      </c>
      <c r="W57" s="204">
        <f>SUM(S57:V57)</f>
        <v>15987.357298535755</v>
      </c>
      <c r="X57" s="106">
        <f>+X51*X52+X56</f>
        <v>4256.7232735330108</v>
      </c>
      <c r="Y57" s="106">
        <f>+Y51*Y52+Y56</f>
        <v>4163.6125003549059</v>
      </c>
      <c r="Z57" s="106">
        <f t="shared" ref="Z57" si="98">+Z51*Z52+Z56</f>
        <v>4352.0163733353356</v>
      </c>
      <c r="AA57" s="106">
        <f t="shared" ref="AA57" si="99">+AA51*AA52+AA56</f>
        <v>4424.0817654875582</v>
      </c>
      <c r="AB57" s="204">
        <f>SUM(X57:AA57)</f>
        <v>17196.433912710811</v>
      </c>
    </row>
    <row r="58" spans="1:28" s="22" customFormat="1" outlineLevel="1" x14ac:dyDescent="0.25">
      <c r="A58" s="228"/>
      <c r="B58" s="135" t="s">
        <v>96</v>
      </c>
      <c r="C58" s="67"/>
      <c r="D58" s="106"/>
      <c r="E58" s="106"/>
      <c r="F58" s="106"/>
      <c r="G58" s="106"/>
      <c r="H58" s="123"/>
      <c r="I58" s="140">
        <f>+I57/I49</f>
        <v>0.39157686386628549</v>
      </c>
      <c r="J58" s="140">
        <f t="shared" ref="J58:Q58" si="100">+J57/J49</f>
        <v>0.3634372275501308</v>
      </c>
      <c r="K58" s="140">
        <f t="shared" si="100"/>
        <v>0.38451779378561446</v>
      </c>
      <c r="L58" s="140">
        <f t="shared" si="100"/>
        <v>0.37438648677361097</v>
      </c>
      <c r="M58" s="141"/>
      <c r="N58" s="140">
        <f t="shared" si="100"/>
        <v>0.39758530183727037</v>
      </c>
      <c r="O58" s="140">
        <f t="shared" si="100"/>
        <v>0.37540016849199664</v>
      </c>
      <c r="P58" s="140">
        <f t="shared" si="100"/>
        <v>0.3929614181438999</v>
      </c>
      <c r="Q58" s="140">
        <f t="shared" si="100"/>
        <v>0.39081990912845932</v>
      </c>
      <c r="R58" s="141"/>
      <c r="S58" s="140">
        <f t="shared" ref="S58" si="101">+S57/S49</f>
        <v>0.41827395577395576</v>
      </c>
      <c r="T58" s="140">
        <f t="shared" ref="T58" si="102">+T57/T49</f>
        <v>0.39330398279922185</v>
      </c>
      <c r="U58" s="140">
        <f t="shared" ref="U58" si="103">+U57/U49</f>
        <v>0.40617248883375467</v>
      </c>
      <c r="V58" s="140">
        <f t="shared" ref="V58" si="104">+V57/V49</f>
        <v>0.40885054183646785</v>
      </c>
      <c r="W58" s="124"/>
      <c r="X58" s="140">
        <f t="shared" ref="X58:Y58" si="105">+X57/X49</f>
        <v>0.42646128072263795</v>
      </c>
      <c r="Y58" s="140">
        <f t="shared" si="105"/>
        <v>0.41491423663522525</v>
      </c>
      <c r="Z58" s="140">
        <f t="shared" ref="Z58" si="106">+Z57/Z49</f>
        <v>0.43081406533686839</v>
      </c>
      <c r="AA58" s="140">
        <f t="shared" ref="AA58" si="107">+AA57/AA49</f>
        <v>0.4353102390493811</v>
      </c>
      <c r="AB58" s="124"/>
    </row>
    <row r="59" spans="1:28" s="127" customFormat="1" outlineLevel="1" x14ac:dyDescent="0.25">
      <c r="A59" s="233"/>
      <c r="B59" s="135" t="s">
        <v>94</v>
      </c>
      <c r="C59" s="136"/>
      <c r="D59" s="137"/>
      <c r="E59" s="137"/>
      <c r="F59" s="137"/>
      <c r="G59" s="137"/>
      <c r="H59" s="138"/>
      <c r="I59" s="130">
        <f>ROUND((+I57-I56-(I51*I52)),0)</f>
        <v>0</v>
      </c>
      <c r="J59" s="130">
        <f>ROUND((+J57-J56-(J51*J52)),0)</f>
        <v>0</v>
      </c>
      <c r="K59" s="130">
        <f>ROUND((+K57-K56-(K51*K52)),0)</f>
        <v>0</v>
      </c>
      <c r="L59" s="130">
        <f>ROUND((+L57-L56-(L51*L52)),0)</f>
        <v>0</v>
      </c>
      <c r="M59" s="133"/>
      <c r="N59" s="130">
        <f>ROUND((+N57-N56-(N51*N52)),0)</f>
        <v>0</v>
      </c>
      <c r="O59" s="130">
        <f>ROUND((+O57-O56-(O51*O52)),0)</f>
        <v>0</v>
      </c>
      <c r="P59" s="130">
        <f>ROUND((+P57-P56-(P51*P52)),0)</f>
        <v>0</v>
      </c>
      <c r="Q59" s="130">
        <f>ROUND((+Q57-Q56-(Q51*Q52)),0)</f>
        <v>0</v>
      </c>
      <c r="R59" s="133"/>
      <c r="S59" s="130">
        <f>ROUND((+S57-S56-(S51*S52)),0)</f>
        <v>0</v>
      </c>
      <c r="T59" s="137">
        <f>ROUND((+T57-T56-(T51*T52)),0)</f>
        <v>0</v>
      </c>
      <c r="U59" s="137">
        <f>ROUND((+U57-U56-(U51*U52)),0)</f>
        <v>0</v>
      </c>
      <c r="V59" s="137">
        <f>ROUND((+V57-V56-(V51*V52)),0)</f>
        <v>0</v>
      </c>
      <c r="W59" s="139"/>
      <c r="X59" s="137">
        <f>ROUND((+X57-X56-(X51*X52)),0)</f>
        <v>0</v>
      </c>
      <c r="Y59" s="137">
        <f>ROUND((+Y57-Y56-(Y51*Y52)),0)</f>
        <v>0</v>
      </c>
      <c r="Z59" s="137">
        <f>ROUND((+Z57-Z56-(Z51*Z52)),0)</f>
        <v>0</v>
      </c>
      <c r="AA59" s="137">
        <f>ROUND((+AA57-AA56-(AA51*AA52)),0)</f>
        <v>0</v>
      </c>
      <c r="AB59" s="139"/>
    </row>
    <row r="60" spans="1:28" s="22" customFormat="1" outlineLevel="1" x14ac:dyDescent="0.25">
      <c r="A60" s="228"/>
      <c r="B60" s="259" t="s">
        <v>87</v>
      </c>
      <c r="C60" s="260"/>
      <c r="D60" s="142">
        <v>6222</v>
      </c>
      <c r="E60" s="142">
        <v>6316</v>
      </c>
      <c r="F60" s="142">
        <v>6425</v>
      </c>
      <c r="G60" s="142">
        <v>6588</v>
      </c>
      <c r="H60" s="143"/>
      <c r="I60" s="142">
        <v>6764</v>
      </c>
      <c r="J60" s="142">
        <v>6882</v>
      </c>
      <c r="K60" s="142">
        <v>7001</v>
      </c>
      <c r="L60" s="142">
        <v>7146</v>
      </c>
      <c r="M60" s="144"/>
      <c r="N60" s="142">
        <v>7312</v>
      </c>
      <c r="O60" s="142">
        <v>7528</v>
      </c>
      <c r="P60" s="142">
        <v>7614</v>
      </c>
      <c r="Q60" s="142">
        <v>7770</v>
      </c>
      <c r="R60" s="144"/>
      <c r="S60" s="142">
        <v>7876</v>
      </c>
      <c r="T60" s="142">
        <v>7943</v>
      </c>
      <c r="U60" s="142">
        <f t="shared" ref="U60:V60" si="108">+T60+U61</f>
        <v>8067</v>
      </c>
      <c r="V60" s="142">
        <f t="shared" si="108"/>
        <v>8167</v>
      </c>
      <c r="W60" s="144"/>
      <c r="X60" s="142">
        <f>+V60+X61</f>
        <v>8266.25</v>
      </c>
      <c r="Y60" s="142">
        <f>+X60+Y61</f>
        <v>8363.8125</v>
      </c>
      <c r="Z60" s="142">
        <f t="shared" ref="Z60" si="109">+Y60+Z61</f>
        <v>8469.015625</v>
      </c>
      <c r="AA60" s="142">
        <f t="shared" ref="AA60" si="110">+Z60+AA61</f>
        <v>8569.51953125</v>
      </c>
      <c r="AB60" s="144"/>
    </row>
    <row r="61" spans="1:28" outlineLevel="1" x14ac:dyDescent="0.25">
      <c r="A61" s="213"/>
      <c r="B61" s="43" t="s">
        <v>95</v>
      </c>
      <c r="C61" s="65"/>
      <c r="D61" s="30"/>
      <c r="E61" s="30">
        <f>+E60-D60</f>
        <v>94</v>
      </c>
      <c r="F61" s="30">
        <f>+F60-E60</f>
        <v>109</v>
      </c>
      <c r="G61" s="30">
        <f>+G60-F60</f>
        <v>163</v>
      </c>
      <c r="H61" s="45"/>
      <c r="I61" s="30">
        <f>+I60-G60</f>
        <v>176</v>
      </c>
      <c r="J61" s="30">
        <f>+J60-I60</f>
        <v>118</v>
      </c>
      <c r="K61" s="30">
        <f>+K60-J60</f>
        <v>119</v>
      </c>
      <c r="L61" s="30">
        <f>+L60-K60</f>
        <v>145</v>
      </c>
      <c r="M61" s="44">
        <f>+SUM(I61:L61)</f>
        <v>558</v>
      </c>
      <c r="N61" s="30">
        <f>+N60-L60</f>
        <v>166</v>
      </c>
      <c r="O61" s="30">
        <f>+O60-N60</f>
        <v>216</v>
      </c>
      <c r="P61" s="30">
        <f>+P60-O60</f>
        <v>86</v>
      </c>
      <c r="Q61" s="30">
        <f>+Q60-P60</f>
        <v>156</v>
      </c>
      <c r="R61" s="44">
        <f>+SUM(N61:Q61)</f>
        <v>624</v>
      </c>
      <c r="S61" s="30">
        <f>+S60-Q60</f>
        <v>106</v>
      </c>
      <c r="T61" s="216">
        <v>67</v>
      </c>
      <c r="U61" s="53">
        <v>124</v>
      </c>
      <c r="V61" s="53">
        <v>100</v>
      </c>
      <c r="W61" s="44">
        <f>+SUM(S61:V61)</f>
        <v>397</v>
      </c>
      <c r="X61" s="53">
        <f>AVERAGE(S61,T61,U61,V61)</f>
        <v>99.25</v>
      </c>
      <c r="Y61" s="53">
        <f>AVERAGE(T61,U61,V61,X61)</f>
        <v>97.5625</v>
      </c>
      <c r="Z61" s="53">
        <f>AVERAGE(U61,V61,X61,Y61)</f>
        <v>105.203125</v>
      </c>
      <c r="AA61" s="53">
        <f>AVERAGE(V61,X61,Y61,Z61)</f>
        <v>100.50390625</v>
      </c>
      <c r="AB61" s="44">
        <f>+SUM(X61:AA61)</f>
        <v>402.51953125</v>
      </c>
    </row>
    <row r="62" spans="1:28" outlineLevel="1" x14ac:dyDescent="0.25">
      <c r="A62" s="213"/>
      <c r="B62" s="43" t="s">
        <v>98</v>
      </c>
      <c r="C62" s="65"/>
      <c r="D62" s="30"/>
      <c r="E62" s="30">
        <f>AVERAGE(E60,D60)</f>
        <v>6269</v>
      </c>
      <c r="F62" s="30">
        <f t="shared" ref="F62:G62" si="111">AVERAGE(F60,E60)</f>
        <v>6370.5</v>
      </c>
      <c r="G62" s="30">
        <f t="shared" si="111"/>
        <v>6506.5</v>
      </c>
      <c r="H62" s="45"/>
      <c r="I62" s="30">
        <f>AVERAGE(I60,G60)</f>
        <v>6676</v>
      </c>
      <c r="J62" s="30">
        <f>AVERAGE(J60,I60)</f>
        <v>6823</v>
      </c>
      <c r="K62" s="30">
        <f t="shared" ref="K62:L62" si="112">AVERAGE(K60,J60)</f>
        <v>6941.5</v>
      </c>
      <c r="L62" s="30">
        <f t="shared" si="112"/>
        <v>7073.5</v>
      </c>
      <c r="M62" s="199"/>
      <c r="N62" s="30">
        <f>AVERAGE(N60,L60)</f>
        <v>7229</v>
      </c>
      <c r="O62" s="30">
        <f>AVERAGE(O60,N60)</f>
        <v>7420</v>
      </c>
      <c r="P62" s="30">
        <f t="shared" ref="P62:Q62" si="113">AVERAGE(P60,O60)</f>
        <v>7571</v>
      </c>
      <c r="Q62" s="30">
        <f t="shared" si="113"/>
        <v>7692</v>
      </c>
      <c r="R62" s="199"/>
      <c r="S62" s="30">
        <f>AVERAGE(S60,Q60)</f>
        <v>7823</v>
      </c>
      <c r="T62" s="30">
        <f>AVERAGE(T60,S60)</f>
        <v>7909.5</v>
      </c>
      <c r="U62" s="30">
        <f t="shared" ref="U62:V62" si="114">AVERAGE(U60,T60)</f>
        <v>8005</v>
      </c>
      <c r="V62" s="30">
        <f t="shared" si="114"/>
        <v>8117</v>
      </c>
      <c r="W62" s="44"/>
      <c r="X62" s="30">
        <f>AVERAGE(X60,V60)</f>
        <v>8216.625</v>
      </c>
      <c r="Y62" s="30">
        <f>AVERAGE(Y60,X60)</f>
        <v>8315.03125</v>
      </c>
      <c r="Z62" s="30">
        <f t="shared" ref="Z62:AA62" si="115">AVERAGE(Z60,Y60)</f>
        <v>8416.4140625</v>
      </c>
      <c r="AA62" s="30">
        <f t="shared" si="115"/>
        <v>8519.267578125</v>
      </c>
      <c r="AB62" s="20"/>
    </row>
    <row r="63" spans="1:28" outlineLevel="1" x14ac:dyDescent="0.25">
      <c r="A63" s="213"/>
      <c r="B63" s="43" t="s">
        <v>97</v>
      </c>
      <c r="C63" s="65"/>
      <c r="D63" s="30"/>
      <c r="E63" s="30"/>
      <c r="F63" s="30"/>
      <c r="G63" s="30"/>
      <c r="H63" s="45"/>
      <c r="I63" s="81">
        <f>+I64/I62</f>
        <v>6.3106650689035357E-2</v>
      </c>
      <c r="J63" s="81">
        <f t="shared" ref="J63:K63" si="116">+J64/J62</f>
        <v>5.5210318041917041E-2</v>
      </c>
      <c r="K63" s="81">
        <f t="shared" si="116"/>
        <v>5.8272707628034284E-2</v>
      </c>
      <c r="L63" s="81">
        <f>+L64/L62</f>
        <v>5.8627270799462783E-2</v>
      </c>
      <c r="M63" s="44"/>
      <c r="N63" s="81">
        <f>+N64/N62</f>
        <v>6.4559413473509478E-2</v>
      </c>
      <c r="O63" s="81">
        <f t="shared" ref="O63" si="117">+O64/O62</f>
        <v>5.7857142857142857E-2</v>
      </c>
      <c r="P63" s="81">
        <f t="shared" ref="P63" si="118">+P64/P62</f>
        <v>5.9701492537313432E-2</v>
      </c>
      <c r="Q63" s="81">
        <f>+Q64/Q62</f>
        <v>6.0582423296931878E-2</v>
      </c>
      <c r="R63" s="44"/>
      <c r="S63" s="81">
        <f>+S64/S62</f>
        <v>6.5780391154288645E-2</v>
      </c>
      <c r="T63" s="81">
        <f>+T64/T62</f>
        <v>5.8537202098742018E-2</v>
      </c>
      <c r="U63" s="126">
        <f>+P63*(1+2%)</f>
        <v>6.0895522388059703E-2</v>
      </c>
      <c r="V63" s="126">
        <f>+Q63*(1+2%)</f>
        <v>6.1794071762870516E-2</v>
      </c>
      <c r="W63" s="199"/>
      <c r="X63" s="126">
        <f>+S63*(1+2%)</f>
        <v>6.7095998977374421E-2</v>
      </c>
      <c r="Y63" s="126">
        <f>+T63*(1+2%)</f>
        <v>5.970794614071686E-2</v>
      </c>
      <c r="Z63" s="126">
        <f>+U63*(1+2%)</f>
        <v>6.2113432835820895E-2</v>
      </c>
      <c r="AA63" s="126">
        <f>+V63*(1+2%)</f>
        <v>6.302995319812793E-2</v>
      </c>
      <c r="AB63" s="20"/>
    </row>
    <row r="64" spans="1:28" s="22" customFormat="1" outlineLevel="1" x14ac:dyDescent="0.25">
      <c r="A64" s="228"/>
      <c r="B64" s="261" t="s">
        <v>100</v>
      </c>
      <c r="C64" s="262"/>
      <c r="D64" s="151"/>
      <c r="E64" s="151"/>
      <c r="F64" s="151"/>
      <c r="G64" s="151"/>
      <c r="H64" s="152"/>
      <c r="I64" s="151">
        <v>421.3</v>
      </c>
      <c r="J64" s="151">
        <v>376.7</v>
      </c>
      <c r="K64" s="151">
        <v>404.5</v>
      </c>
      <c r="L64" s="151">
        <v>414.7</v>
      </c>
      <c r="M64" s="153"/>
      <c r="N64" s="151">
        <v>466.7</v>
      </c>
      <c r="O64" s="151">
        <v>429.3</v>
      </c>
      <c r="P64" s="151">
        <v>452</v>
      </c>
      <c r="Q64" s="151">
        <v>466</v>
      </c>
      <c r="R64" s="153"/>
      <c r="S64" s="151">
        <v>514.6</v>
      </c>
      <c r="T64" s="151">
        <v>463</v>
      </c>
      <c r="U64" s="151">
        <f t="shared" ref="U64:V64" si="119">+U62*U63</f>
        <v>487.46865671641791</v>
      </c>
      <c r="V64" s="151">
        <f t="shared" si="119"/>
        <v>501.58248049921997</v>
      </c>
      <c r="W64" s="153"/>
      <c r="X64" s="151">
        <f>+X62*X63</f>
        <v>551.30266259746907</v>
      </c>
      <c r="Y64" s="151">
        <f>+Y62*Y63</f>
        <v>496.47343803337759</v>
      </c>
      <c r="Z64" s="151">
        <f t="shared" ref="Z64" si="120">+Z62*Z63</f>
        <v>522.77236958955223</v>
      </c>
      <c r="AA64" s="151">
        <f t="shared" ref="AA64" si="121">+AA62*AA63</f>
        <v>536.96903673154748</v>
      </c>
      <c r="AB64" s="153"/>
    </row>
    <row r="65" spans="1:28" s="22" customFormat="1" outlineLevel="1" x14ac:dyDescent="0.25">
      <c r="A65" s="228"/>
      <c r="B65" s="251" t="s">
        <v>99</v>
      </c>
      <c r="C65" s="252"/>
      <c r="D65" s="37"/>
      <c r="E65" s="37"/>
      <c r="F65" s="37"/>
      <c r="G65" s="37"/>
      <c r="H65" s="114"/>
      <c r="I65" s="106">
        <v>1.5</v>
      </c>
      <c r="J65" s="106">
        <v>1.4</v>
      </c>
      <c r="K65" s="106">
        <v>0.9</v>
      </c>
      <c r="L65" s="106">
        <v>2.5</v>
      </c>
      <c r="M65" s="124"/>
      <c r="N65" s="106">
        <v>3.9</v>
      </c>
      <c r="O65" s="106">
        <v>2.2000000000000002</v>
      </c>
      <c r="P65" s="106">
        <v>3.5</v>
      </c>
      <c r="Q65" s="106">
        <v>3.5</v>
      </c>
      <c r="R65" s="124"/>
      <c r="S65" s="106">
        <v>5.7</v>
      </c>
      <c r="T65" s="106">
        <v>1.5</v>
      </c>
      <c r="U65" s="106">
        <f>+P65*(1+U66)</f>
        <v>5.0750000000000002</v>
      </c>
      <c r="V65" s="106">
        <f t="shared" ref="V65" si="122">+Q65*(1+V66)</f>
        <v>5.0750000000000002</v>
      </c>
      <c r="W65" s="115"/>
      <c r="X65" s="106">
        <f>+S65*(1+X66)</f>
        <v>7.125</v>
      </c>
      <c r="Y65" s="106">
        <f>+T65*(1+Y66)</f>
        <v>2.1749999999999998</v>
      </c>
      <c r="Z65" s="106">
        <f>+U65*(1+Z66)</f>
        <v>7.3587499999999997</v>
      </c>
      <c r="AA65" s="106">
        <f t="shared" ref="AA65" si="123">+V65*(1+AA66)</f>
        <v>7.3587499999999997</v>
      </c>
      <c r="AB65" s="115"/>
    </row>
    <row r="66" spans="1:28" outlineLevel="1" x14ac:dyDescent="0.25">
      <c r="A66" s="213"/>
      <c r="B66" s="145" t="s">
        <v>102</v>
      </c>
      <c r="C66" s="146"/>
      <c r="D66" s="116"/>
      <c r="E66" s="116"/>
      <c r="F66" s="116"/>
      <c r="G66" s="116"/>
      <c r="H66" s="117"/>
      <c r="I66" s="116"/>
      <c r="J66" s="116"/>
      <c r="K66" s="116"/>
      <c r="L66" s="116"/>
      <c r="M66" s="118"/>
      <c r="N66" s="147">
        <f>+N65/I65-1</f>
        <v>1.6</v>
      </c>
      <c r="O66" s="147">
        <f t="shared" ref="O66:Q66" si="124">+O65/J65-1</f>
        <v>0.57142857142857162</v>
      </c>
      <c r="P66" s="147">
        <f t="shared" si="124"/>
        <v>2.8888888888888888</v>
      </c>
      <c r="Q66" s="147">
        <f t="shared" si="124"/>
        <v>0.39999999999999991</v>
      </c>
      <c r="R66" s="118"/>
      <c r="S66" s="147">
        <f>+S65/N65-1</f>
        <v>0.46153846153846168</v>
      </c>
      <c r="T66" s="147">
        <f>+T65/O65-1</f>
        <v>-0.31818181818181823</v>
      </c>
      <c r="U66" s="148">
        <v>0.45</v>
      </c>
      <c r="V66" s="148">
        <v>0.45</v>
      </c>
      <c r="W66" s="118"/>
      <c r="X66" s="148">
        <v>0.25</v>
      </c>
      <c r="Y66" s="148">
        <v>0.45</v>
      </c>
      <c r="Z66" s="148">
        <v>0.45</v>
      </c>
      <c r="AA66" s="148">
        <v>0.45</v>
      </c>
      <c r="AB66" s="118"/>
    </row>
    <row r="67" spans="1:28" outlineLevel="1" x14ac:dyDescent="0.25">
      <c r="A67" s="213"/>
      <c r="B67" s="43" t="s">
        <v>104</v>
      </c>
      <c r="C67" s="100"/>
      <c r="D67" s="30"/>
      <c r="E67" s="30"/>
      <c r="F67" s="30"/>
      <c r="G67" s="30"/>
      <c r="H67" s="45"/>
      <c r="I67" s="30">
        <f>+I60+I49</f>
        <v>15858</v>
      </c>
      <c r="J67" s="30">
        <f t="shared" ref="J67:V67" si="125">+J60+J49</f>
        <v>16058</v>
      </c>
      <c r="K67" s="30">
        <f t="shared" si="125"/>
        <v>16302</v>
      </c>
      <c r="L67" s="30">
        <f t="shared" si="125"/>
        <v>16559</v>
      </c>
      <c r="M67" s="44"/>
      <c r="N67" s="30">
        <f t="shared" si="125"/>
        <v>16837</v>
      </c>
      <c r="O67" s="30">
        <f t="shared" si="125"/>
        <v>17024</v>
      </c>
      <c r="P67" s="30">
        <f t="shared" si="125"/>
        <v>17204</v>
      </c>
      <c r="Q67" s="30">
        <f t="shared" si="125"/>
        <v>17454</v>
      </c>
      <c r="R67" s="44"/>
      <c r="S67" s="30">
        <f t="shared" si="125"/>
        <v>17644</v>
      </c>
      <c r="T67" s="30">
        <f>+T60+T49</f>
        <v>17710</v>
      </c>
      <c r="U67" s="30">
        <f t="shared" si="125"/>
        <v>17924</v>
      </c>
      <c r="V67" s="30">
        <f t="shared" si="125"/>
        <v>18089</v>
      </c>
      <c r="W67" s="44"/>
      <c r="X67" s="30">
        <f>+X60+X49</f>
        <v>18247.75</v>
      </c>
      <c r="Y67" s="30">
        <f t="shared" ref="Y67:AA67" si="126">+Y60+Y49</f>
        <v>18398.6875</v>
      </c>
      <c r="Z67" s="30">
        <f t="shared" si="126"/>
        <v>18570.859375</v>
      </c>
      <c r="AA67" s="30">
        <f t="shared" si="126"/>
        <v>18732.57421875</v>
      </c>
      <c r="AB67" s="20"/>
    </row>
    <row r="68" spans="1:28" outlineLevel="1" x14ac:dyDescent="0.25">
      <c r="A68" s="213"/>
      <c r="B68" s="43" t="s">
        <v>105</v>
      </c>
      <c r="C68" s="100"/>
      <c r="D68" s="30"/>
      <c r="E68" s="30"/>
      <c r="F68" s="30"/>
      <c r="G68" s="30"/>
      <c r="H68" s="45"/>
      <c r="I68" s="30">
        <f>+I61+I50</f>
        <v>251</v>
      </c>
      <c r="J68" s="30">
        <f t="shared" ref="J68:V68" si="127">+J61+J50</f>
        <v>200</v>
      </c>
      <c r="K68" s="30">
        <f t="shared" si="127"/>
        <v>244</v>
      </c>
      <c r="L68" s="30">
        <f t="shared" si="127"/>
        <v>257</v>
      </c>
      <c r="M68" s="44">
        <f t="shared" ref="M68" si="128">+M61+M50</f>
        <v>952</v>
      </c>
      <c r="N68" s="30">
        <f t="shared" si="127"/>
        <v>278</v>
      </c>
      <c r="O68" s="30">
        <f t="shared" si="127"/>
        <v>187</v>
      </c>
      <c r="P68" s="30">
        <f t="shared" si="127"/>
        <v>180</v>
      </c>
      <c r="Q68" s="30">
        <f t="shared" si="127"/>
        <v>250</v>
      </c>
      <c r="R68" s="44">
        <f t="shared" si="127"/>
        <v>895</v>
      </c>
      <c r="S68" s="30">
        <f t="shared" si="127"/>
        <v>190</v>
      </c>
      <c r="T68" s="30">
        <f>+T61+T50</f>
        <v>66</v>
      </c>
      <c r="U68" s="30">
        <f t="shared" si="127"/>
        <v>214</v>
      </c>
      <c r="V68" s="30">
        <f t="shared" si="127"/>
        <v>165</v>
      </c>
      <c r="W68" s="200">
        <f>+W61+W50</f>
        <v>635</v>
      </c>
      <c r="X68" s="30">
        <f>+X61+X50</f>
        <v>158.75</v>
      </c>
      <c r="Y68" s="30">
        <f t="shared" ref="Y68:AA68" si="129">+Y61+Y50</f>
        <v>150.9375</v>
      </c>
      <c r="Z68" s="30">
        <f t="shared" si="129"/>
        <v>172.171875</v>
      </c>
      <c r="AA68" s="30">
        <f t="shared" si="129"/>
        <v>161.71484375</v>
      </c>
      <c r="AB68" s="44">
        <f>+AB61+AB50</f>
        <v>643.57421875</v>
      </c>
    </row>
    <row r="69" spans="1:28" outlineLevel="1" x14ac:dyDescent="0.25">
      <c r="A69" s="213"/>
      <c r="B69" s="253" t="s">
        <v>103</v>
      </c>
      <c r="C69" s="254"/>
      <c r="D69" s="149"/>
      <c r="E69" s="149"/>
      <c r="F69" s="149"/>
      <c r="G69" s="149"/>
      <c r="H69" s="150"/>
      <c r="I69" s="151">
        <f>+I65+I64+I57</f>
        <v>3983.8</v>
      </c>
      <c r="J69" s="151">
        <f t="shared" ref="J69:V69" si="130">+J65+J64+J57</f>
        <v>3713</v>
      </c>
      <c r="K69" s="151">
        <f t="shared" si="130"/>
        <v>3981.8</v>
      </c>
      <c r="L69" s="151">
        <f t="shared" si="130"/>
        <v>3941.2999999999997</v>
      </c>
      <c r="M69" s="204">
        <f>SUM(I69:L69)</f>
        <v>15619.9</v>
      </c>
      <c r="N69" s="151">
        <f t="shared" si="130"/>
        <v>4257.6000000000004</v>
      </c>
      <c r="O69" s="151">
        <f t="shared" si="130"/>
        <v>3996.3</v>
      </c>
      <c r="P69" s="151">
        <f t="shared" si="130"/>
        <v>4224</v>
      </c>
      <c r="Q69" s="151">
        <f t="shared" si="130"/>
        <v>4254.2</v>
      </c>
      <c r="R69" s="204">
        <f>SUM(N69:Q69)</f>
        <v>16732.100000000002</v>
      </c>
      <c r="S69" s="151">
        <f t="shared" si="130"/>
        <v>4606</v>
      </c>
      <c r="T69" s="151">
        <f t="shared" si="130"/>
        <v>4305.8999999999996</v>
      </c>
      <c r="U69" s="151">
        <f t="shared" si="130"/>
        <v>4496.1858791507375</v>
      </c>
      <c r="V69" s="151">
        <f t="shared" si="130"/>
        <v>4563.2725566006538</v>
      </c>
      <c r="W69" s="204">
        <f>SUM(S69:V69)</f>
        <v>17971.35843575139</v>
      </c>
      <c r="X69" s="151">
        <f>+X65+X64+X57</f>
        <v>4815.1509361304797</v>
      </c>
      <c r="Y69" s="151">
        <f t="shared" ref="Y69:AA69" si="131">+Y65+Y64+Y57</f>
        <v>4662.2609383882836</v>
      </c>
      <c r="Z69" s="151">
        <f t="shared" si="131"/>
        <v>4882.147492924888</v>
      </c>
      <c r="AA69" s="151">
        <f t="shared" si="131"/>
        <v>4968.4095522191055</v>
      </c>
      <c r="AB69" s="204">
        <f>SUM(X69:AA69)</f>
        <v>19327.968919662755</v>
      </c>
    </row>
    <row r="70" spans="1:28" outlineLevel="1" x14ac:dyDescent="0.25">
      <c r="A70" s="213"/>
      <c r="B70" s="255" t="s">
        <v>73</v>
      </c>
      <c r="C70" s="256"/>
      <c r="D70" s="30"/>
      <c r="E70" s="30"/>
      <c r="F70" s="30"/>
      <c r="G70" s="30"/>
      <c r="H70" s="45"/>
      <c r="I70" s="104">
        <v>1434.6</v>
      </c>
      <c r="J70" s="104">
        <v>1348.7</v>
      </c>
      <c r="K70" s="104">
        <v>1434.3</v>
      </c>
      <c r="L70" s="104">
        <v>1477.4</v>
      </c>
      <c r="M70" s="170"/>
      <c r="N70" s="104">
        <v>1596.2</v>
      </c>
      <c r="O70" s="104">
        <v>1528</v>
      </c>
      <c r="P70" s="104">
        <v>1570.8</v>
      </c>
      <c r="Q70" s="104">
        <v>1606.3</v>
      </c>
      <c r="R70" s="170"/>
      <c r="S70" s="104">
        <v>1712.4</v>
      </c>
      <c r="T70" s="104">
        <v>1589.1</v>
      </c>
      <c r="U70" s="104">
        <f>+(U69*U80)*(T70/T79)</f>
        <v>1635.981315924171</v>
      </c>
      <c r="V70" s="104">
        <f>+(V69*V80)*(U70/U79)</f>
        <v>1655.9099728551812</v>
      </c>
      <c r="W70" s="170"/>
      <c r="X70" s="104">
        <f>+(X69*X80)*(V70/V79)</f>
        <v>1741.8614374842791</v>
      </c>
      <c r="Y70" s="104">
        <f>+(Y69*Y80)*(X70/X79)</f>
        <v>1702.1036175970755</v>
      </c>
      <c r="Z70" s="104">
        <f>+(Z69*Z80)*(Y70/Y79)</f>
        <v>1759.6359639265474</v>
      </c>
      <c r="AA70" s="104">
        <f>+(AA69*AA80)*(Z70/Z79)</f>
        <v>1783.4077071269819</v>
      </c>
      <c r="AB70" s="170"/>
    </row>
    <row r="71" spans="1:28" outlineLevel="1" x14ac:dyDescent="0.25">
      <c r="A71" s="213"/>
      <c r="B71" s="43" t="s">
        <v>74</v>
      </c>
      <c r="C71" s="32"/>
      <c r="D71" s="30"/>
      <c r="E71" s="30"/>
      <c r="F71" s="30"/>
      <c r="G71" s="30"/>
      <c r="H71" s="45"/>
      <c r="I71" s="104">
        <v>1356.3</v>
      </c>
      <c r="J71" s="104">
        <v>1299.0999999999999</v>
      </c>
      <c r="K71" s="104">
        <v>1338.8</v>
      </c>
      <c r="L71" s="104">
        <v>1326</v>
      </c>
      <c r="M71" s="105"/>
      <c r="N71" s="104">
        <v>1433.4</v>
      </c>
      <c r="O71" s="104">
        <v>1411.8</v>
      </c>
      <c r="P71" s="104">
        <v>1447.6</v>
      </c>
      <c r="Q71" s="104">
        <v>1455</v>
      </c>
      <c r="R71" s="105"/>
      <c r="S71" s="104">
        <v>1591.1</v>
      </c>
      <c r="T71" s="104">
        <v>1534.9</v>
      </c>
      <c r="U71" s="104">
        <f>+(U69*U80)*(T71/T79)</f>
        <v>1580.1823181750742</v>
      </c>
      <c r="V71" s="104">
        <f>+(V69*V80)*(U71/U79)</f>
        <v>1599.431261302258</v>
      </c>
      <c r="W71" s="105"/>
      <c r="X71" s="104">
        <f>+(X69*X80)*(V71/V79)</f>
        <v>1682.4511486971371</v>
      </c>
      <c r="Y71" s="104">
        <f>+(Y69*Y80)*(X71/X79)</f>
        <v>1644.0493629411312</v>
      </c>
      <c r="Z71" s="104">
        <f>+(Z69*Z80)*(Y71/Y79)</f>
        <v>1699.6194330318156</v>
      </c>
      <c r="AA71" s="104">
        <f>+(AA69*AA80)*(Z71/Z79)</f>
        <v>1722.5803849154897</v>
      </c>
      <c r="AB71" s="105"/>
    </row>
    <row r="72" spans="1:28" outlineLevel="1" x14ac:dyDescent="0.25">
      <c r="A72" s="213"/>
      <c r="B72" s="43" t="s">
        <v>75</v>
      </c>
      <c r="C72" s="32"/>
      <c r="D72" s="30"/>
      <c r="E72" s="30"/>
      <c r="F72" s="30"/>
      <c r="G72" s="30"/>
      <c r="H72" s="45"/>
      <c r="I72" s="104">
        <v>32.5</v>
      </c>
      <c r="J72" s="104">
        <v>32.1</v>
      </c>
      <c r="K72" s="104">
        <v>33.6</v>
      </c>
      <c r="L72" s="104">
        <v>32.6</v>
      </c>
      <c r="M72" s="105"/>
      <c r="N72" s="104">
        <v>38.6</v>
      </c>
      <c r="O72" s="104">
        <v>33.9</v>
      </c>
      <c r="P72" s="104">
        <v>36.700000000000003</v>
      </c>
      <c r="Q72" s="104">
        <v>40.799999999999997</v>
      </c>
      <c r="R72" s="105"/>
      <c r="S72" s="104">
        <v>44.1</v>
      </c>
      <c r="T72" s="104">
        <v>38.799999999999997</v>
      </c>
      <c r="U72" s="104">
        <f>+(U69*U80)*(T72/T79)</f>
        <v>39.944669975368342</v>
      </c>
      <c r="V72" s="104">
        <f>+(V69*V80)*(U72/U79)</f>
        <v>40.4312547648235</v>
      </c>
      <c r="W72" s="105"/>
      <c r="X72" s="104">
        <f>+(X69*X80)*(V72/V79)</f>
        <v>42.529874629910026</v>
      </c>
      <c r="Y72" s="104">
        <f>+(Y69*Y80)*(X72/X79)</f>
        <v>41.559134329347749</v>
      </c>
      <c r="Z72" s="104">
        <f>+(Z69*Z80)*(Y72/Y79)</f>
        <v>42.963863444937402</v>
      </c>
      <c r="AA72" s="104">
        <f>+(AA69*AA80)*(Z72/Z79)</f>
        <v>43.544282321142077</v>
      </c>
      <c r="AB72" s="105"/>
    </row>
    <row r="73" spans="1:28" outlineLevel="1" x14ac:dyDescent="0.25">
      <c r="A73" s="213"/>
      <c r="B73" s="43" t="s">
        <v>76</v>
      </c>
      <c r="C73" s="32"/>
      <c r="D73" s="30"/>
      <c r="E73" s="30"/>
      <c r="F73" s="30"/>
      <c r="G73" s="30"/>
      <c r="H73" s="45"/>
      <c r="I73" s="155">
        <v>152.4</v>
      </c>
      <c r="J73" s="155">
        <v>155.4</v>
      </c>
      <c r="K73" s="155">
        <v>152.80000000000001</v>
      </c>
      <c r="L73" s="155">
        <v>154.30000000000001</v>
      </c>
      <c r="M73" s="20"/>
      <c r="N73" s="155">
        <v>158</v>
      </c>
      <c r="O73" s="155">
        <v>160.4</v>
      </c>
      <c r="P73" s="155">
        <v>159.30000000000001</v>
      </c>
      <c r="Q73" s="155">
        <v>160.6</v>
      </c>
      <c r="R73" s="20"/>
      <c r="S73" s="155">
        <v>165.8</v>
      </c>
      <c r="T73" s="155">
        <v>170.7</v>
      </c>
      <c r="U73" s="240">
        <v>176.54828073622357</v>
      </c>
      <c r="V73" s="240">
        <v>183.35557343127246</v>
      </c>
      <c r="W73" s="20"/>
      <c r="X73" s="240">
        <v>187.7684259720105</v>
      </c>
      <c r="Y73" s="240">
        <v>192.97476749082676</v>
      </c>
      <c r="Z73" s="240">
        <v>192.12812351594783</v>
      </c>
      <c r="AA73" s="240">
        <v>192.43175451774599</v>
      </c>
      <c r="AB73" s="20"/>
    </row>
    <row r="74" spans="1:28" outlineLevel="1" x14ac:dyDescent="0.25">
      <c r="A74" s="213"/>
      <c r="B74" s="43" t="s">
        <v>77</v>
      </c>
      <c r="C74" s="32"/>
      <c r="D74" s="30"/>
      <c r="E74" s="30"/>
      <c r="F74" s="30"/>
      <c r="G74" s="30"/>
      <c r="H74" s="20"/>
      <c r="I74" s="104">
        <v>52</v>
      </c>
      <c r="J74" s="104">
        <v>53.4</v>
      </c>
      <c r="K74" s="104">
        <v>50.7</v>
      </c>
      <c r="L74" s="104">
        <v>45.4</v>
      </c>
      <c r="M74" s="105"/>
      <c r="N74" s="104">
        <v>52.1</v>
      </c>
      <c r="O74" s="104">
        <v>60</v>
      </c>
      <c r="P74" s="104">
        <v>84.4</v>
      </c>
      <c r="Q74" s="104">
        <v>50.6</v>
      </c>
      <c r="R74" s="105"/>
      <c r="S74" s="104">
        <v>58.2</v>
      </c>
      <c r="T74" s="104">
        <v>55.2</v>
      </c>
      <c r="U74" s="104">
        <f t="shared" ref="U74:V74" si="132">+(U69*U80)*(T74/T79)</f>
        <v>56.828499552585896</v>
      </c>
      <c r="V74" s="104">
        <f t="shared" si="132"/>
        <v>57.520754201501489</v>
      </c>
      <c r="W74" s="105"/>
      <c r="X74" s="104">
        <f>+(X69*X80)*(V74/V79)</f>
        <v>60.506419576573045</v>
      </c>
      <c r="Y74" s="104">
        <f>+(Y69*Y80)*(X74/X79)</f>
        <v>59.125366365463833</v>
      </c>
      <c r="Z74" s="104">
        <f t="shared" ref="Z74:AA74" si="133">+(Z69*Z80)*(Y74/Y79)</f>
        <v>61.12384696290065</v>
      </c>
      <c r="AA74" s="104">
        <f t="shared" si="133"/>
        <v>61.949597529047509</v>
      </c>
      <c r="AB74" s="105"/>
    </row>
    <row r="75" spans="1:28" ht="17.25" outlineLevel="1" x14ac:dyDescent="0.4">
      <c r="A75" s="213"/>
      <c r="B75" s="43" t="s">
        <v>85</v>
      </c>
      <c r="C75" s="32"/>
      <c r="D75" s="30"/>
      <c r="E75" s="30"/>
      <c r="F75" s="30"/>
      <c r="G75" s="30"/>
      <c r="H75" s="20"/>
      <c r="I75" s="156">
        <v>0</v>
      </c>
      <c r="J75" s="156">
        <v>0</v>
      </c>
      <c r="K75" s="156">
        <v>0</v>
      </c>
      <c r="L75" s="156">
        <v>4.0999999999999996</v>
      </c>
      <c r="M75" s="171"/>
      <c r="N75" s="156">
        <v>1.6</v>
      </c>
      <c r="O75" s="156">
        <v>0.9</v>
      </c>
      <c r="P75" s="156">
        <v>18.399999999999999</v>
      </c>
      <c r="Q75" s="156">
        <v>12.4</v>
      </c>
      <c r="R75" s="171"/>
      <c r="S75" s="156">
        <v>22.9</v>
      </c>
      <c r="T75" s="156">
        <v>18.2</v>
      </c>
      <c r="U75" s="156">
        <f t="shared" ref="U75" si="134">+(U69*U80)*(T75/T79)</f>
        <v>18.736932823497522</v>
      </c>
      <c r="V75" s="156">
        <f>+(V69*V80)*(U75/U79)</f>
        <v>18.96517620411824</v>
      </c>
      <c r="W75" s="171"/>
      <c r="X75" s="156">
        <f>+(X69*X80)*(V75/V79)</f>
        <v>19.949580367638209</v>
      </c>
      <c r="Y75" s="156">
        <f>+(Y69*Y80)*(X75/X79)</f>
        <v>19.49423311325075</v>
      </c>
      <c r="Z75" s="156">
        <f t="shared" ref="Z75" si="135">+(Z69*Z80)*(Y75/Y79)</f>
        <v>20.153152440666513</v>
      </c>
      <c r="AA75" s="156">
        <f>+(AA69*AA80)*(Z75/Z79)</f>
        <v>20.425410779504791</v>
      </c>
      <c r="AB75" s="171"/>
    </row>
    <row r="76" spans="1:28" outlineLevel="1" x14ac:dyDescent="0.25">
      <c r="A76" s="213"/>
      <c r="B76" s="102" t="s">
        <v>178</v>
      </c>
      <c r="C76" s="35"/>
      <c r="D76" s="30"/>
      <c r="E76" s="30"/>
      <c r="F76" s="30"/>
      <c r="G76" s="30"/>
      <c r="H76" s="23"/>
      <c r="I76" s="106">
        <f t="shared" ref="I76:L76" si="136">SUM(I70:I75)</f>
        <v>3027.7999999999997</v>
      </c>
      <c r="J76" s="106">
        <f t="shared" si="136"/>
        <v>2888.7000000000003</v>
      </c>
      <c r="K76" s="106">
        <f t="shared" si="136"/>
        <v>3010.2</v>
      </c>
      <c r="L76" s="106">
        <f t="shared" si="136"/>
        <v>3039.8</v>
      </c>
      <c r="M76" s="20"/>
      <c r="N76" s="106">
        <f>SUM(N70:N75)</f>
        <v>3279.9</v>
      </c>
      <c r="O76" s="106">
        <f t="shared" ref="O76:P76" si="137">SUM(O70:O75)</f>
        <v>3195.0000000000005</v>
      </c>
      <c r="P76" s="106">
        <f t="shared" si="137"/>
        <v>3317.2</v>
      </c>
      <c r="Q76" s="106">
        <f t="shared" ref="Q76" si="138">SUM(Q70:Q75)</f>
        <v>3325.7000000000003</v>
      </c>
      <c r="R76" s="20"/>
      <c r="S76" s="106">
        <f t="shared" ref="S76" si="139">SUM(S70:S75)</f>
        <v>3594.5</v>
      </c>
      <c r="T76" s="106">
        <f t="shared" ref="T76" si="140">SUM(T70:T75)</f>
        <v>3406.8999999999996</v>
      </c>
      <c r="U76" s="106">
        <f t="shared" ref="U76" si="141">SUM(U70:U75)</f>
        <v>3508.2220171869212</v>
      </c>
      <c r="V76" s="106">
        <f t="shared" ref="V76" si="142">SUM(V70:V75)</f>
        <v>3555.6139927591548</v>
      </c>
      <c r="W76" s="20"/>
      <c r="X76" s="106">
        <f t="shared" ref="X76" si="143">SUM(X70:X75)</f>
        <v>3735.0668867275476</v>
      </c>
      <c r="Y76" s="106">
        <f t="shared" ref="Y76" si="144">SUM(Y70:Y75)</f>
        <v>3659.3064818370958</v>
      </c>
      <c r="Z76" s="106">
        <f t="shared" ref="Z76" si="145">SUM(Z70:Z75)</f>
        <v>3775.6243833228154</v>
      </c>
      <c r="AA76" s="106">
        <f t="shared" ref="AA76" si="146">SUM(AA70:AA75)</f>
        <v>3824.339137189912</v>
      </c>
      <c r="AB76" s="20"/>
    </row>
    <row r="77" spans="1:28" outlineLevel="1" x14ac:dyDescent="0.25">
      <c r="A77" s="213"/>
      <c r="B77" s="102" t="s">
        <v>179</v>
      </c>
      <c r="C77" s="93"/>
      <c r="D77" s="30"/>
      <c r="E77" s="30"/>
      <c r="F77" s="30"/>
      <c r="G77" s="30"/>
      <c r="H77" s="23"/>
      <c r="I77" s="157">
        <f t="shared" ref="I77:L77" si="147">+I69-I76</f>
        <v>956.00000000000045</v>
      </c>
      <c r="J77" s="157">
        <f t="shared" si="147"/>
        <v>824.29999999999973</v>
      </c>
      <c r="K77" s="157">
        <f t="shared" si="147"/>
        <v>971.60000000000036</v>
      </c>
      <c r="L77" s="157">
        <f t="shared" si="147"/>
        <v>901.49999999999955</v>
      </c>
      <c r="M77" s="204">
        <f>SUM(I77:L77)</f>
        <v>3653.4</v>
      </c>
      <c r="N77" s="157">
        <f>+N69-N76</f>
        <v>977.70000000000027</v>
      </c>
      <c r="O77" s="157">
        <f t="shared" ref="O77:P77" si="148">+O69-O76</f>
        <v>801.29999999999973</v>
      </c>
      <c r="P77" s="157">
        <f t="shared" si="148"/>
        <v>906.80000000000018</v>
      </c>
      <c r="Q77" s="157">
        <f t="shared" ref="Q77" si="149">+Q69-Q76</f>
        <v>928.49999999999955</v>
      </c>
      <c r="R77" s="204">
        <f>SUM(N77:Q77)</f>
        <v>3614.2999999999997</v>
      </c>
      <c r="S77" s="157">
        <f t="shared" ref="S77" si="150">+S69-S76</f>
        <v>1011.5</v>
      </c>
      <c r="T77" s="157">
        <f t="shared" ref="T77" si="151">+T69-T76</f>
        <v>899</v>
      </c>
      <c r="U77" s="157">
        <f t="shared" ref="U77" si="152">+U69-U76</f>
        <v>987.96386196381627</v>
      </c>
      <c r="V77" s="157">
        <f t="shared" ref="V77" si="153">+V69-V76</f>
        <v>1007.658563841499</v>
      </c>
      <c r="W77" s="204">
        <f>SUM(S77:V77)</f>
        <v>3906.1224258053153</v>
      </c>
      <c r="X77" s="157">
        <f t="shared" ref="X77" si="154">+X69-X76</f>
        <v>1080.0840494029321</v>
      </c>
      <c r="Y77" s="157">
        <f t="shared" ref="Y77" si="155">+Y69-Y76</f>
        <v>1002.9544565511878</v>
      </c>
      <c r="Z77" s="157">
        <f t="shared" ref="Z77" si="156">+Z69-Z76</f>
        <v>1106.5231096020725</v>
      </c>
      <c r="AA77" s="157">
        <f t="shared" ref="AA77" si="157">+AA69-AA76</f>
        <v>1144.0704150291936</v>
      </c>
      <c r="AB77" s="204">
        <f>SUM(X77:AA77)</f>
        <v>4333.632030585386</v>
      </c>
    </row>
    <row r="78" spans="1:28" outlineLevel="1" x14ac:dyDescent="0.25">
      <c r="A78" s="213"/>
      <c r="B78" s="102" t="s">
        <v>180</v>
      </c>
      <c r="C78" s="93"/>
      <c r="D78" s="30"/>
      <c r="E78" s="30"/>
      <c r="F78" s="30"/>
      <c r="G78" s="30"/>
      <c r="H78" s="20"/>
      <c r="I78" s="158">
        <f t="shared" ref="I78:L78" si="158">+I77/I69</f>
        <v>0.2399718861388625</v>
      </c>
      <c r="J78" s="158">
        <f t="shared" si="158"/>
        <v>0.22200377053595469</v>
      </c>
      <c r="K78" s="158">
        <f t="shared" si="158"/>
        <v>0.24401024662213078</v>
      </c>
      <c r="L78" s="158">
        <f t="shared" si="158"/>
        <v>0.22873163676959368</v>
      </c>
      <c r="M78" s="205">
        <f>M77/M69</f>
        <v>0.23389394298298966</v>
      </c>
      <c r="N78" s="158">
        <f>+N77/N69</f>
        <v>0.22963641488162351</v>
      </c>
      <c r="O78" s="158">
        <f t="shared" ref="O78:P78" si="159">+O77/O69</f>
        <v>0.20051047218677268</v>
      </c>
      <c r="P78" s="158">
        <f t="shared" si="159"/>
        <v>0.21467803030303034</v>
      </c>
      <c r="Q78" s="158">
        <f t="shared" ref="Q78" si="160">+Q77/Q69</f>
        <v>0.21825490103897316</v>
      </c>
      <c r="R78" s="205">
        <f>R77/R69</f>
        <v>0.21600994495610229</v>
      </c>
      <c r="S78" s="158">
        <f t="shared" ref="S78" si="161">+S77/S69</f>
        <v>0.21960486322188449</v>
      </c>
      <c r="T78" s="158">
        <f t="shared" ref="T78" si="162">+T77/T69</f>
        <v>0.20878329733621312</v>
      </c>
      <c r="U78" s="158">
        <f t="shared" ref="U78" si="163">+U77/U69</f>
        <v>0.21973376735715114</v>
      </c>
      <c r="V78" s="158">
        <f t="shared" ref="V78" si="164">+V77/V69</f>
        <v>0.22081928075585741</v>
      </c>
      <c r="W78" s="207">
        <f>W77/W69</f>
        <v>0.21735265254265118</v>
      </c>
      <c r="X78" s="158">
        <f t="shared" ref="X78" si="165">+X77/X69</f>
        <v>0.22430948971890427</v>
      </c>
      <c r="Y78" s="158">
        <f t="shared" ref="Y78" si="166">+Y77/Y69</f>
        <v>0.21512190540281156</v>
      </c>
      <c r="Z78" s="158">
        <f t="shared" ref="Z78" si="167">+Z77/Z69</f>
        <v>0.22664680065598675</v>
      </c>
      <c r="AA78" s="158">
        <f t="shared" ref="AA78" si="168">+AA77/AA69</f>
        <v>0.23026894280850951</v>
      </c>
      <c r="AB78" s="205">
        <f>AB77/AB69</f>
        <v>0.2242155939197879</v>
      </c>
    </row>
    <row r="79" spans="1:28" s="160" customFormat="1" outlineLevel="1" x14ac:dyDescent="0.25">
      <c r="A79" s="229"/>
      <c r="B79" s="164" t="s">
        <v>110</v>
      </c>
      <c r="C79" s="161"/>
      <c r="D79" s="162"/>
      <c r="E79" s="162"/>
      <c r="F79" s="162"/>
      <c r="G79" s="162"/>
      <c r="H79" s="163"/>
      <c r="I79" s="130">
        <f>+I76-I73</f>
        <v>2875.3999999999996</v>
      </c>
      <c r="J79" s="130">
        <f t="shared" ref="J79:V79" si="169">+J76-J73</f>
        <v>2733.3</v>
      </c>
      <c r="K79" s="130">
        <f t="shared" si="169"/>
        <v>2857.3999999999996</v>
      </c>
      <c r="L79" s="130">
        <f t="shared" si="169"/>
        <v>2885.5</v>
      </c>
      <c r="M79" s="165"/>
      <c r="N79" s="130">
        <f t="shared" si="169"/>
        <v>3121.9</v>
      </c>
      <c r="O79" s="130">
        <f t="shared" si="169"/>
        <v>3034.6000000000004</v>
      </c>
      <c r="P79" s="130">
        <f t="shared" si="169"/>
        <v>3157.8999999999996</v>
      </c>
      <c r="Q79" s="130">
        <f t="shared" si="169"/>
        <v>3165.1000000000004</v>
      </c>
      <c r="R79" s="165"/>
      <c r="S79" s="130">
        <f t="shared" si="169"/>
        <v>3428.7</v>
      </c>
      <c r="T79" s="130">
        <f t="shared" si="169"/>
        <v>3236.2</v>
      </c>
      <c r="U79" s="130">
        <f t="shared" si="169"/>
        <v>3331.6737364506976</v>
      </c>
      <c r="V79" s="130">
        <f t="shared" si="169"/>
        <v>3372.2584193278822</v>
      </c>
      <c r="W79" s="133"/>
      <c r="X79" s="130">
        <f t="shared" ref="X79" si="170">+X76-X73</f>
        <v>3547.2984607555372</v>
      </c>
      <c r="Y79" s="130">
        <f t="shared" ref="Y79:AA79" si="171">+Y76-Y73</f>
        <v>3466.3317143462691</v>
      </c>
      <c r="Z79" s="130">
        <f t="shared" si="171"/>
        <v>3583.4962598068678</v>
      </c>
      <c r="AA79" s="130">
        <f t="shared" si="171"/>
        <v>3631.907382672166</v>
      </c>
      <c r="AB79" s="163"/>
    </row>
    <row r="80" spans="1:28" s="160" customFormat="1" outlineLevel="1" x14ac:dyDescent="0.25">
      <c r="A80" s="229"/>
      <c r="B80" s="164" t="s">
        <v>111</v>
      </c>
      <c r="C80" s="161"/>
      <c r="D80" s="162"/>
      <c r="E80" s="162"/>
      <c r="F80" s="162"/>
      <c r="G80" s="162"/>
      <c r="H80" s="163"/>
      <c r="I80" s="166">
        <f>+I79/I69</f>
        <v>0.72177318138460755</v>
      </c>
      <c r="J80" s="166">
        <f t="shared" ref="J80:T80" si="172">+J79/J69</f>
        <v>0.73614328036628074</v>
      </c>
      <c r="K80" s="166">
        <f t="shared" si="172"/>
        <v>0.71761514892762057</v>
      </c>
      <c r="L80" s="166">
        <f t="shared" si="172"/>
        <v>0.73211884403623173</v>
      </c>
      <c r="M80" s="167"/>
      <c r="N80" s="166">
        <f t="shared" si="172"/>
        <v>0.73325347613679059</v>
      </c>
      <c r="O80" s="166">
        <f t="shared" si="172"/>
        <v>0.75935240097089818</v>
      </c>
      <c r="P80" s="166">
        <f t="shared" si="172"/>
        <v>0.74760890151515147</v>
      </c>
      <c r="Q80" s="166">
        <f t="shared" si="172"/>
        <v>0.74399417046683292</v>
      </c>
      <c r="R80" s="167">
        <f>AVERAGE(N80:Q80)</f>
        <v>0.74605223727241832</v>
      </c>
      <c r="S80" s="166">
        <f t="shared" si="172"/>
        <v>0.74439861050803291</v>
      </c>
      <c r="T80" s="166">
        <f t="shared" si="172"/>
        <v>0.75157342251329573</v>
      </c>
      <c r="U80" s="168">
        <v>0.74099999999999999</v>
      </c>
      <c r="V80" s="168">
        <v>0.73899999999999999</v>
      </c>
      <c r="W80" s="167"/>
      <c r="X80" s="168">
        <v>0.73669517483624181</v>
      </c>
      <c r="Y80" s="168">
        <v>0.74348728227651695</v>
      </c>
      <c r="Z80" s="168">
        <v>0.73399999999999999</v>
      </c>
      <c r="AA80" s="168">
        <v>0.73099999999999998</v>
      </c>
      <c r="AB80" s="163"/>
    </row>
    <row r="81" spans="1:28" ht="18" x14ac:dyDescent="0.4">
      <c r="B81" s="245" t="s">
        <v>106</v>
      </c>
      <c r="C81" s="246"/>
      <c r="D81" s="28" t="s">
        <v>44</v>
      </c>
      <c r="E81" s="28" t="s">
        <v>45</v>
      </c>
      <c r="F81" s="28" t="s">
        <v>46</v>
      </c>
      <c r="G81" s="28" t="s">
        <v>47</v>
      </c>
      <c r="H81" s="75" t="s">
        <v>48</v>
      </c>
      <c r="I81" s="28" t="s">
        <v>37</v>
      </c>
      <c r="J81" s="28" t="s">
        <v>38</v>
      </c>
      <c r="K81" s="28" t="s">
        <v>39</v>
      </c>
      <c r="L81" s="28" t="s">
        <v>40</v>
      </c>
      <c r="M81" s="75" t="s">
        <v>41</v>
      </c>
      <c r="N81" s="28" t="s">
        <v>50</v>
      </c>
      <c r="O81" s="28" t="s">
        <v>51</v>
      </c>
      <c r="P81" s="28" t="s">
        <v>52</v>
      </c>
      <c r="Q81" s="28" t="s">
        <v>53</v>
      </c>
      <c r="R81" s="75" t="s">
        <v>54</v>
      </c>
      <c r="S81" s="28" t="s">
        <v>55</v>
      </c>
      <c r="T81" s="28" t="s">
        <v>182</v>
      </c>
      <c r="U81" s="26" t="s">
        <v>62</v>
      </c>
      <c r="V81" s="26" t="s">
        <v>63</v>
      </c>
      <c r="W81" s="77" t="s">
        <v>64</v>
      </c>
      <c r="X81" s="26" t="s">
        <v>65</v>
      </c>
      <c r="Y81" s="26" t="s">
        <v>66</v>
      </c>
      <c r="Z81" s="26" t="s">
        <v>67</v>
      </c>
      <c r="AA81" s="26" t="s">
        <v>68</v>
      </c>
      <c r="AB81" s="77" t="s">
        <v>69</v>
      </c>
    </row>
    <row r="82" spans="1:28" s="22" customFormat="1" outlineLevel="1" x14ac:dyDescent="0.25">
      <c r="B82" s="257" t="s">
        <v>107</v>
      </c>
      <c r="C82" s="258"/>
      <c r="D82" s="37">
        <v>2542</v>
      </c>
      <c r="E82" s="37">
        <v>2596</v>
      </c>
      <c r="F82" s="37">
        <v>2675</v>
      </c>
      <c r="G82" s="37">
        <v>2811</v>
      </c>
      <c r="H82" s="114"/>
      <c r="I82" s="37">
        <v>2915</v>
      </c>
      <c r="J82" s="37">
        <v>2982</v>
      </c>
      <c r="K82" s="37">
        <v>3098</v>
      </c>
      <c r="L82" s="37">
        <v>3070</v>
      </c>
      <c r="M82" s="115"/>
      <c r="N82" s="37">
        <v>4682</v>
      </c>
      <c r="O82" s="37">
        <v>4816</v>
      </c>
      <c r="P82" s="37">
        <v>4979</v>
      </c>
      <c r="Q82" s="37">
        <v>5159</v>
      </c>
      <c r="R82" s="115"/>
      <c r="S82" s="37">
        <v>5350</v>
      </c>
      <c r="T82" s="37">
        <v>5483</v>
      </c>
      <c r="U82" s="37">
        <f t="shared" ref="U82" si="173">+T82+U83</f>
        <v>5708</v>
      </c>
      <c r="V82" s="37">
        <f t="shared" ref="V82" si="174">+U82+V83</f>
        <v>5948</v>
      </c>
      <c r="W82" s="115"/>
      <c r="X82" s="37">
        <f>+V82+X83</f>
        <v>6145.25</v>
      </c>
      <c r="Y82" s="37">
        <f>+X82+Y83</f>
        <v>6344.0625</v>
      </c>
      <c r="Z82" s="37">
        <f t="shared" ref="Z82" si="175">+Y82+Z83</f>
        <v>6559.328125</v>
      </c>
      <c r="AA82" s="37">
        <f t="shared" ref="AA82" si="176">+Z82+AA83</f>
        <v>6772.16015625</v>
      </c>
      <c r="AB82" s="115"/>
    </row>
    <row r="83" spans="1:28" outlineLevel="1" x14ac:dyDescent="0.25">
      <c r="B83" s="43" t="s">
        <v>91</v>
      </c>
      <c r="C83" s="65"/>
      <c r="D83" s="30"/>
      <c r="E83" s="30"/>
      <c r="F83" s="30"/>
      <c r="G83" s="30"/>
      <c r="H83" s="45"/>
      <c r="I83" s="30">
        <f>+I82-G82</f>
        <v>104</v>
      </c>
      <c r="J83" s="30">
        <f>+J82-I82</f>
        <v>67</v>
      </c>
      <c r="K83" s="30">
        <f>+K82-J82</f>
        <v>116</v>
      </c>
      <c r="L83" s="30">
        <f>+L82-K82</f>
        <v>-28</v>
      </c>
      <c r="M83" s="44">
        <f>+SUM(I83:L83)</f>
        <v>259</v>
      </c>
      <c r="N83" s="30">
        <f>+N82-L82</f>
        <v>1612</v>
      </c>
      <c r="O83" s="30">
        <f>+O82-N82</f>
        <v>134</v>
      </c>
      <c r="P83" s="30">
        <f>+P82-O82</f>
        <v>163</v>
      </c>
      <c r="Q83" s="30">
        <f>+Q82-P82</f>
        <v>180</v>
      </c>
      <c r="R83" s="44">
        <f>+SUM(N83:Q83)</f>
        <v>2089</v>
      </c>
      <c r="S83" s="30">
        <f>+S82-Q82</f>
        <v>191</v>
      </c>
      <c r="T83" s="216">
        <v>133</v>
      </c>
      <c r="U83" s="53">
        <v>225</v>
      </c>
      <c r="V83" s="53">
        <v>240</v>
      </c>
      <c r="W83" s="44">
        <f>+SUM(S83:V83)</f>
        <v>789</v>
      </c>
      <c r="X83" s="53">
        <f>AVERAGE(S83,T83,U83,V83)</f>
        <v>197.25</v>
      </c>
      <c r="Y83" s="53">
        <f>AVERAGE(T83,U83,V83,X83)</f>
        <v>198.8125</v>
      </c>
      <c r="Z83" s="53">
        <f>AVERAGE(U83,V83,X83,Y83)</f>
        <v>215.265625</v>
      </c>
      <c r="AA83" s="53">
        <f>AVERAGE(V83,X83,Y83,Z83)</f>
        <v>212.83203125</v>
      </c>
      <c r="AB83" s="44">
        <f>+SUM(X83:AA83)</f>
        <v>824.16015625</v>
      </c>
    </row>
    <row r="84" spans="1:28" s="127" customFormat="1" outlineLevel="1" x14ac:dyDescent="0.25">
      <c r="A84" s="233"/>
      <c r="B84" s="128" t="s">
        <v>92</v>
      </c>
      <c r="C84" s="129"/>
      <c r="D84" s="130"/>
      <c r="E84" s="130"/>
      <c r="F84" s="130"/>
      <c r="G84" s="130"/>
      <c r="H84" s="131"/>
      <c r="I84" s="132">
        <f>D82</f>
        <v>2542</v>
      </c>
      <c r="J84" s="132">
        <f>E82</f>
        <v>2596</v>
      </c>
      <c r="K84" s="132">
        <f>F82</f>
        <v>2675</v>
      </c>
      <c r="L84" s="132">
        <f>G82</f>
        <v>2811</v>
      </c>
      <c r="M84" s="133"/>
      <c r="N84" s="132">
        <f>I82</f>
        <v>2915</v>
      </c>
      <c r="O84" s="132">
        <f>J82</f>
        <v>2982</v>
      </c>
      <c r="P84" s="132">
        <f>K82</f>
        <v>3098</v>
      </c>
      <c r="Q84" s="132">
        <f>L82</f>
        <v>3070</v>
      </c>
      <c r="R84" s="133"/>
      <c r="S84" s="132">
        <f>N82</f>
        <v>4682</v>
      </c>
      <c r="T84" s="132">
        <f>O82</f>
        <v>4816</v>
      </c>
      <c r="U84" s="132">
        <f>P82</f>
        <v>4979</v>
      </c>
      <c r="V84" s="132">
        <f>Q82</f>
        <v>5159</v>
      </c>
      <c r="W84" s="133"/>
      <c r="X84" s="132">
        <f>S82</f>
        <v>5350</v>
      </c>
      <c r="Y84" s="132">
        <f>T82</f>
        <v>5483</v>
      </c>
      <c r="Z84" s="132">
        <f>U82</f>
        <v>5708</v>
      </c>
      <c r="AA84" s="132">
        <f>V82</f>
        <v>5948</v>
      </c>
      <c r="AB84" s="133"/>
    </row>
    <row r="85" spans="1:28" s="127" customFormat="1" outlineLevel="1" x14ac:dyDescent="0.25">
      <c r="A85" s="233"/>
      <c r="B85" s="128" t="s">
        <v>93</v>
      </c>
      <c r="C85" s="129"/>
      <c r="D85" s="130"/>
      <c r="E85" s="130"/>
      <c r="F85" s="130"/>
      <c r="G85" s="130"/>
      <c r="H85" s="131"/>
      <c r="I85" s="134">
        <v>0.21</v>
      </c>
      <c r="J85" s="134">
        <v>0.20571240617810041</v>
      </c>
      <c r="K85" s="134">
        <v>0.23049885306924159</v>
      </c>
      <c r="L85" s="134">
        <v>0.21472943154355364</v>
      </c>
      <c r="M85" s="133"/>
      <c r="N85" s="134">
        <f>I85*(1+N88)</f>
        <v>0.21209999999999998</v>
      </c>
      <c r="O85" s="134">
        <f>+J85*(1+O88)</f>
        <v>0.21188377836344344</v>
      </c>
      <c r="P85" s="134">
        <f t="shared" ref="P85" si="177">K85*(1+P88)</f>
        <v>0.22819386453854917</v>
      </c>
      <c r="Q85" s="134">
        <f>L85*(1+Q88)</f>
        <v>0.21687672585898918</v>
      </c>
      <c r="R85" s="133"/>
      <c r="S85" s="134">
        <f>N85*(1+S88)</f>
        <v>0.21846299999999999</v>
      </c>
      <c r="T85" s="134">
        <f>+O85*(1+T88)</f>
        <v>0.2161214539307123</v>
      </c>
      <c r="U85" s="134">
        <f t="shared" ref="U85" si="178">+P85*(1+U88)</f>
        <v>0.23321412955839727</v>
      </c>
      <c r="V85" s="134">
        <f t="shared" ref="V85" si="179">+Q85*(1+V88)</f>
        <v>0.21991300002101502</v>
      </c>
      <c r="W85" s="133"/>
      <c r="X85" s="134">
        <f>+S85*(1+X88)</f>
        <v>0.22315995450000001</v>
      </c>
      <c r="Y85" s="134">
        <f>+T85*(1+Y88)</f>
        <v>0.22247002163992696</v>
      </c>
      <c r="Z85" s="134">
        <f t="shared" ref="Z85" si="180">+U85*(1+Z88)</f>
        <v>0.2382792489347437</v>
      </c>
      <c r="AA85" s="134">
        <f t="shared" ref="AA85" si="181">+V85*(1+AA88)</f>
        <v>0.22467377285740744</v>
      </c>
      <c r="AB85" s="133"/>
    </row>
    <row r="86" spans="1:28" outlineLevel="1" x14ac:dyDescent="0.25">
      <c r="A86" s="213"/>
      <c r="B86" s="43" t="s">
        <v>89</v>
      </c>
      <c r="C86" s="100"/>
      <c r="D86" s="50">
        <v>0.04</v>
      </c>
      <c r="E86" s="50">
        <v>0.02</v>
      </c>
      <c r="F86" s="50">
        <v>0.02</v>
      </c>
      <c r="G86" s="50">
        <v>0</v>
      </c>
      <c r="H86" s="48">
        <v>0.01</v>
      </c>
      <c r="I86" s="50">
        <v>0.02</v>
      </c>
      <c r="J86" s="50">
        <v>0.01</v>
      </c>
      <c r="K86" s="50">
        <v>0</v>
      </c>
      <c r="L86" s="50">
        <v>0.01</v>
      </c>
      <c r="M86" s="48">
        <v>0.01</v>
      </c>
      <c r="N86" s="50">
        <v>0.01</v>
      </c>
      <c r="O86" s="50">
        <v>0</v>
      </c>
      <c r="P86" s="50">
        <v>-0.03</v>
      </c>
      <c r="Q86" s="50">
        <v>-0.01</v>
      </c>
      <c r="R86" s="48">
        <v>-0.01</v>
      </c>
      <c r="S86" s="50">
        <v>0.01</v>
      </c>
      <c r="T86" s="50">
        <v>0</v>
      </c>
      <c r="U86" s="50"/>
      <c r="V86" s="50"/>
      <c r="W86" s="48"/>
      <c r="X86" s="50"/>
      <c r="Y86" s="50"/>
      <c r="Z86" s="50"/>
      <c r="AA86" s="50"/>
      <c r="AB86" s="48"/>
    </row>
    <row r="87" spans="1:28" outlineLevel="1" x14ac:dyDescent="0.25">
      <c r="A87" s="213"/>
      <c r="B87" s="43" t="s">
        <v>88</v>
      </c>
      <c r="C87" s="100"/>
      <c r="D87" s="120">
        <v>0.02</v>
      </c>
      <c r="E87" s="120">
        <v>0.02</v>
      </c>
      <c r="F87" s="120">
        <v>0.01</v>
      </c>
      <c r="G87" s="120">
        <v>0.02</v>
      </c>
      <c r="H87" s="121">
        <v>0.02</v>
      </c>
      <c r="I87" s="120">
        <v>0.03</v>
      </c>
      <c r="J87" s="120">
        <v>0.01</v>
      </c>
      <c r="K87" s="120">
        <v>0.01</v>
      </c>
      <c r="L87" s="120">
        <v>0.01</v>
      </c>
      <c r="M87" s="121">
        <v>0.01</v>
      </c>
      <c r="N87" s="120">
        <v>0</v>
      </c>
      <c r="O87" s="120">
        <v>0.03</v>
      </c>
      <c r="P87" s="120">
        <v>0.02</v>
      </c>
      <c r="Q87" s="120">
        <v>0.02</v>
      </c>
      <c r="R87" s="121">
        <v>0.02</v>
      </c>
      <c r="S87" s="120">
        <v>0.02</v>
      </c>
      <c r="T87" s="120">
        <v>0.02</v>
      </c>
      <c r="U87" s="120"/>
      <c r="V87" s="120"/>
      <c r="W87" s="121"/>
      <c r="X87" s="120"/>
      <c r="Y87" s="120"/>
      <c r="Z87" s="120"/>
      <c r="AA87" s="120"/>
      <c r="AB87" s="121"/>
    </row>
    <row r="88" spans="1:28" s="22" customFormat="1" outlineLevel="1" x14ac:dyDescent="0.25">
      <c r="A88" s="228"/>
      <c r="B88" s="73" t="s">
        <v>90</v>
      </c>
      <c r="C88" s="67"/>
      <c r="D88" s="119">
        <v>0.05</v>
      </c>
      <c r="E88" s="119">
        <v>0.03</v>
      </c>
      <c r="F88" s="119">
        <v>0.03</v>
      </c>
      <c r="G88" s="119">
        <v>0.01</v>
      </c>
      <c r="H88" s="122">
        <v>0.03</v>
      </c>
      <c r="I88" s="119">
        <v>0.05</v>
      </c>
      <c r="J88" s="119">
        <v>0.03</v>
      </c>
      <c r="K88" s="119">
        <v>0</v>
      </c>
      <c r="L88" s="119">
        <v>0.02</v>
      </c>
      <c r="M88" s="122">
        <v>0.03</v>
      </c>
      <c r="N88" s="119">
        <v>0.01</v>
      </c>
      <c r="O88" s="119">
        <v>0.03</v>
      </c>
      <c r="P88" s="119">
        <v>-0.01</v>
      </c>
      <c r="Q88" s="119">
        <v>0.01</v>
      </c>
      <c r="R88" s="122">
        <v>0.01</v>
      </c>
      <c r="S88" s="119">
        <v>0.03</v>
      </c>
      <c r="T88" s="227">
        <v>0.02</v>
      </c>
      <c r="U88" s="237">
        <v>2.1999999999999999E-2</v>
      </c>
      <c r="V88" s="125">
        <v>1.4E-2</v>
      </c>
      <c r="W88" s="122"/>
      <c r="X88" s="125">
        <f>AVERAGE(V88,U88,T88,S88)</f>
        <v>2.1499999999999998E-2</v>
      </c>
      <c r="Y88" s="125">
        <f>AVERAGE(X88,V88,U88,T88)+1%</f>
        <v>2.9374999999999998E-2</v>
      </c>
      <c r="Z88" s="125">
        <f>AVERAGE(Y88,X88,V88,U88)</f>
        <v>2.1718750000000002E-2</v>
      </c>
      <c r="AA88" s="125">
        <f>AVERAGE(Z88,Y88,X88,V88)</f>
        <v>2.1648437499999999E-2</v>
      </c>
      <c r="AB88" s="122"/>
    </row>
    <row r="89" spans="1:28" ht="17.25" outlineLevel="1" x14ac:dyDescent="0.4">
      <c r="A89" s="213"/>
      <c r="B89" s="101" t="s">
        <v>152</v>
      </c>
      <c r="C89" s="100"/>
      <c r="D89" s="30"/>
      <c r="E89" s="30"/>
      <c r="F89" s="30"/>
      <c r="G89" s="30"/>
      <c r="H89" s="45"/>
      <c r="I89" s="52">
        <f>+(I82-I84)*I91+69</f>
        <v>157.48353344768441</v>
      </c>
      <c r="J89" s="52">
        <f>+(J82-J84)*J91+65</f>
        <v>154.03112005365526</v>
      </c>
      <c r="K89" s="52">
        <f>+(K82-K84)*K91+37</f>
        <v>140.33324725629438</v>
      </c>
      <c r="L89" s="52">
        <f>+(L82-L84)*L91+101</f>
        <v>165.96091205211727</v>
      </c>
      <c r="M89" s="94"/>
      <c r="N89" s="52">
        <f>+(N82-N84)*N91-156</f>
        <v>124.22159333618112</v>
      </c>
      <c r="O89" s="52">
        <f>+(O82-O84)*O91+48</f>
        <v>466.36220930232554</v>
      </c>
      <c r="P89" s="52">
        <f>+(P82-P84)*P91</f>
        <v>429.35458927495478</v>
      </c>
      <c r="Q89" s="52">
        <f>+(Q82-Q84)*Q91</f>
        <v>453.23080054274084</v>
      </c>
      <c r="R89" s="20"/>
      <c r="S89" s="52">
        <f>+(S82-S84)*S91-39</f>
        <v>101.37988785046727</v>
      </c>
      <c r="T89" s="52">
        <f>+(T82-T84)*T91</f>
        <v>144.21457231442642</v>
      </c>
      <c r="U89" s="52">
        <f>AVERAGE(T89,S89)</f>
        <v>122.79723008244684</v>
      </c>
      <c r="V89" s="52">
        <f>AVERAGE(U89,T89,S89)</f>
        <v>122.79723008244684</v>
      </c>
      <c r="W89" s="20"/>
      <c r="X89" s="52">
        <f>AVERAGE(V89,U89,T89,S89)</f>
        <v>122.79723008244684</v>
      </c>
      <c r="Y89" s="52">
        <f>AVERAGE(X89,V89,U89,T89)</f>
        <v>128.15156564044173</v>
      </c>
      <c r="Z89" s="52">
        <f>AVERAGE(Y89,X89,V89,U89)</f>
        <v>124.13581397194557</v>
      </c>
      <c r="AA89" s="52">
        <f>AVERAGE(Z89,Y89,X89,V89)</f>
        <v>124.47045994432025</v>
      </c>
      <c r="AB89" s="20"/>
    </row>
    <row r="90" spans="1:28" s="22" customFormat="1" outlineLevel="1" x14ac:dyDescent="0.25">
      <c r="A90" s="228"/>
      <c r="B90" s="251" t="s">
        <v>108</v>
      </c>
      <c r="C90" s="252"/>
      <c r="D90" s="106"/>
      <c r="E90" s="106"/>
      <c r="F90" s="106"/>
      <c r="G90" s="106"/>
      <c r="H90" s="123"/>
      <c r="I90" s="106">
        <v>691.5</v>
      </c>
      <c r="J90" s="106">
        <v>687.8</v>
      </c>
      <c r="K90" s="106">
        <v>756.8</v>
      </c>
      <c r="L90" s="106">
        <v>770</v>
      </c>
      <c r="M90" s="124"/>
      <c r="N90" s="106">
        <v>742.5</v>
      </c>
      <c r="O90" s="106">
        <v>1098.5999999999999</v>
      </c>
      <c r="P90" s="106">
        <v>1136.5</v>
      </c>
      <c r="Q90" s="106">
        <v>1119.3</v>
      </c>
      <c r="R90" s="124"/>
      <c r="S90" s="106">
        <v>1124.3</v>
      </c>
      <c r="T90" s="106">
        <v>1185.5</v>
      </c>
      <c r="U90" s="106">
        <f t="shared" ref="U90" si="182">+U84*U85+U89</f>
        <v>1283.970381153707</v>
      </c>
      <c r="V90" s="106">
        <f t="shared" ref="V90" si="183">+V84*V85+V89</f>
        <v>1257.3283971908631</v>
      </c>
      <c r="W90" s="124"/>
      <c r="X90" s="106">
        <f>+X84*X85+X89</f>
        <v>1316.7029866574467</v>
      </c>
      <c r="Y90" s="106">
        <f>+Y84*Y85+Y89</f>
        <v>1347.9546942921613</v>
      </c>
      <c r="Z90" s="106">
        <f t="shared" ref="Z90" si="184">+Z84*Z85+Z89</f>
        <v>1484.2337668914624</v>
      </c>
      <c r="AA90" s="106">
        <f t="shared" ref="AA90" si="185">+AA84*AA85+AA89</f>
        <v>1460.8300609001797</v>
      </c>
      <c r="AB90" s="124"/>
    </row>
    <row r="91" spans="1:28" s="22" customFormat="1" outlineLevel="1" x14ac:dyDescent="0.25">
      <c r="A91" s="228"/>
      <c r="B91" s="135" t="s">
        <v>96</v>
      </c>
      <c r="C91" s="67"/>
      <c r="D91" s="106"/>
      <c r="E91" s="106"/>
      <c r="F91" s="106"/>
      <c r="G91" s="106"/>
      <c r="H91" s="123"/>
      <c r="I91" s="140">
        <f>+I90/I82</f>
        <v>0.23722126929674101</v>
      </c>
      <c r="J91" s="140">
        <f t="shared" ref="J91" si="186">+J90/J82</f>
        <v>0.23065057008718978</v>
      </c>
      <c r="K91" s="140">
        <f t="shared" ref="K91" si="187">+K90/K82</f>
        <v>0.24428663653970301</v>
      </c>
      <c r="L91" s="140">
        <f t="shared" ref="L91" si="188">+L90/L82</f>
        <v>0.250814332247557</v>
      </c>
      <c r="M91" s="141"/>
      <c r="N91" s="140">
        <f t="shared" ref="N91" si="189">+N90/N82</f>
        <v>0.15858607432721059</v>
      </c>
      <c r="O91" s="140">
        <f t="shared" ref="O91" si="190">+O90/O82</f>
        <v>0.22811461794019933</v>
      </c>
      <c r="P91" s="140">
        <f t="shared" ref="P91" si="191">+P90/P82</f>
        <v>0.22825868648322956</v>
      </c>
      <c r="Q91" s="140">
        <f t="shared" ref="Q91" si="192">+Q90/Q82</f>
        <v>0.21696065128900949</v>
      </c>
      <c r="R91" s="141"/>
      <c r="S91" s="140">
        <f t="shared" ref="S91" si="193">+S90/S82</f>
        <v>0.21014953271028036</v>
      </c>
      <c r="T91" s="140">
        <f t="shared" ref="T91" si="194">+T90/T82</f>
        <v>0.21621375159584169</v>
      </c>
      <c r="U91" s="140">
        <f t="shared" ref="U91" si="195">+U90/U82</f>
        <v>0.22494225318039715</v>
      </c>
      <c r="V91" s="140">
        <f t="shared" ref="V91" si="196">+V90/V82</f>
        <v>0.21138675137707855</v>
      </c>
      <c r="W91" s="124"/>
      <c r="X91" s="140">
        <f t="shared" ref="X91" si="197">+X90/X82</f>
        <v>0.21426353470687876</v>
      </c>
      <c r="Y91" s="140">
        <f t="shared" ref="Y91" si="198">+Y90/Y82</f>
        <v>0.21247500230209923</v>
      </c>
      <c r="Z91" s="140">
        <f t="shared" ref="Z91" si="199">+Z90/Z82</f>
        <v>0.22627832281091478</v>
      </c>
      <c r="AA91" s="140">
        <f t="shared" ref="AA91" si="200">+AA90/AA82</f>
        <v>0.21571109176323677</v>
      </c>
      <c r="AB91" s="124"/>
    </row>
    <row r="92" spans="1:28" s="127" customFormat="1" outlineLevel="1" x14ac:dyDescent="0.25">
      <c r="A92" s="233"/>
      <c r="B92" s="135" t="s">
        <v>94</v>
      </c>
      <c r="C92" s="136"/>
      <c r="D92" s="137"/>
      <c r="E92" s="137"/>
      <c r="F92" s="137"/>
      <c r="G92" s="137"/>
      <c r="H92" s="138"/>
      <c r="I92" s="130">
        <f>ROUND((+I90-I89-(I84*I85)),0)</f>
        <v>0</v>
      </c>
      <c r="J92" s="130">
        <f>ROUND((+J90-J89-(J84*J85)),0)</f>
        <v>0</v>
      </c>
      <c r="K92" s="130">
        <f>ROUND((+K90-K89-(K84*K85)),0)</f>
        <v>0</v>
      </c>
      <c r="L92" s="130">
        <f>ROUND((+L90-L89-(L84*L85)),0)</f>
        <v>0</v>
      </c>
      <c r="M92" s="133"/>
      <c r="N92" s="130">
        <f>ROUND((+N90-N89-(N84*N85)),0)</f>
        <v>0</v>
      </c>
      <c r="O92" s="130">
        <f>ROUND((+O90-O89-(O84*O85)),0)</f>
        <v>0</v>
      </c>
      <c r="P92" s="130">
        <f>ROUND((+P90-P89-(P84*P85)),0)</f>
        <v>0</v>
      </c>
      <c r="Q92" s="130">
        <f>ROUND((+Q90-Q89-(Q84*Q85)),0)</f>
        <v>0</v>
      </c>
      <c r="R92" s="133"/>
      <c r="S92" s="130">
        <f>ROUND((+S90-S89-(S84*S85)),0)</f>
        <v>0</v>
      </c>
      <c r="T92" s="137">
        <f>ROUND((+T90-T89-(T84*T85)),0)</f>
        <v>0</v>
      </c>
      <c r="U92" s="137">
        <f>ROUND((+U90-U89-(U84*U85)),0)</f>
        <v>0</v>
      </c>
      <c r="V92" s="137">
        <f>ROUND((+V90-V89-(V84*V85)),0)</f>
        <v>0</v>
      </c>
      <c r="W92" s="139"/>
      <c r="X92" s="137">
        <f>ROUND((+X90-X89-(X84*X85)),0)</f>
        <v>0</v>
      </c>
      <c r="Y92" s="137">
        <f>ROUND((+Y90-Y89-(Y84*Y85)),0)</f>
        <v>0</v>
      </c>
      <c r="Z92" s="137">
        <f>ROUND((+Z90-Z89-(Z84*Z85)),0)</f>
        <v>0</v>
      </c>
      <c r="AA92" s="137">
        <f>ROUND((+AA90-AA89-(AA84*AA85)),0)</f>
        <v>0</v>
      </c>
      <c r="AB92" s="139"/>
    </row>
    <row r="93" spans="1:28" s="22" customFormat="1" outlineLevel="1" x14ac:dyDescent="0.25">
      <c r="A93" s="228"/>
      <c r="B93" s="259" t="s">
        <v>109</v>
      </c>
      <c r="C93" s="260"/>
      <c r="D93" s="142">
        <v>3201</v>
      </c>
      <c r="E93" s="142">
        <v>3322</v>
      </c>
      <c r="F93" s="142">
        <v>3452</v>
      </c>
      <c r="G93" s="142">
        <v>3632</v>
      </c>
      <c r="H93" s="143"/>
      <c r="I93" s="142">
        <v>3831</v>
      </c>
      <c r="J93" s="142">
        <v>3951</v>
      </c>
      <c r="K93" s="142">
        <v>4085</v>
      </c>
      <c r="L93" s="142">
        <v>4409</v>
      </c>
      <c r="M93" s="144"/>
      <c r="N93" s="142">
        <v>3097</v>
      </c>
      <c r="O93" s="142">
        <v>3179</v>
      </c>
      <c r="P93" s="142">
        <v>3273</v>
      </c>
      <c r="Q93" s="142">
        <v>3371</v>
      </c>
      <c r="R93" s="144"/>
      <c r="S93" s="142">
        <v>3439</v>
      </c>
      <c r="T93" s="142">
        <v>3510</v>
      </c>
      <c r="U93" s="142">
        <f t="shared" ref="U93" si="201">+T93+U94</f>
        <v>3620</v>
      </c>
      <c r="V93" s="142">
        <f t="shared" ref="V93" si="202">+U93+V94</f>
        <v>3732</v>
      </c>
      <c r="W93" s="144"/>
      <c r="X93" s="142">
        <f>+V93+X94</f>
        <v>3822.25</v>
      </c>
      <c r="Y93" s="142">
        <f>+X93+Y94</f>
        <v>3918.0625</v>
      </c>
      <c r="Z93" s="142">
        <f t="shared" ref="Z93" si="203">+Y93+Z94</f>
        <v>4020.078125</v>
      </c>
      <c r="AA93" s="142">
        <f t="shared" ref="AA93" si="204">+Z93+AA94</f>
        <v>4120.09765625</v>
      </c>
      <c r="AB93" s="144"/>
    </row>
    <row r="94" spans="1:28" outlineLevel="1" x14ac:dyDescent="0.25">
      <c r="B94" s="43" t="s">
        <v>95</v>
      </c>
      <c r="C94" s="65"/>
      <c r="D94" s="30"/>
      <c r="E94" s="30">
        <f>+E93-D93</f>
        <v>121</v>
      </c>
      <c r="F94" s="30">
        <f>+F93-E93</f>
        <v>130</v>
      </c>
      <c r="G94" s="30">
        <f>+G93-F93</f>
        <v>180</v>
      </c>
      <c r="H94" s="45"/>
      <c r="I94" s="30">
        <f>+I93-G93</f>
        <v>199</v>
      </c>
      <c r="J94" s="30">
        <f>+J93-I93</f>
        <v>120</v>
      </c>
      <c r="K94" s="30">
        <f>+K93-J93</f>
        <v>134</v>
      </c>
      <c r="L94" s="30">
        <f>+L93-K93</f>
        <v>324</v>
      </c>
      <c r="M94" s="44">
        <f>+SUM(I94:L94)</f>
        <v>777</v>
      </c>
      <c r="N94" s="30">
        <f>+N93-L93</f>
        <v>-1312</v>
      </c>
      <c r="O94" s="30">
        <f>+O93-N93</f>
        <v>82</v>
      </c>
      <c r="P94" s="30">
        <f>+P93-O93</f>
        <v>94</v>
      </c>
      <c r="Q94" s="30">
        <f>+Q93-P93</f>
        <v>98</v>
      </c>
      <c r="R94" s="44">
        <f>+SUM(N94:Q94)</f>
        <v>-1038</v>
      </c>
      <c r="S94" s="30">
        <f>+S93-Q93</f>
        <v>68</v>
      </c>
      <c r="T94" s="216">
        <v>71</v>
      </c>
      <c r="U94" s="53">
        <v>110</v>
      </c>
      <c r="V94" s="53">
        <v>112</v>
      </c>
      <c r="W94" s="44">
        <f>+SUM(S94:V94)</f>
        <v>361</v>
      </c>
      <c r="X94" s="53">
        <f>AVERAGE(S94,T94,U94,V94)</f>
        <v>90.25</v>
      </c>
      <c r="Y94" s="53">
        <f>AVERAGE(T94,U94,V94,X94)</f>
        <v>95.8125</v>
      </c>
      <c r="Z94" s="53">
        <f>AVERAGE(U94,V94,X94,Y94)</f>
        <v>102.015625</v>
      </c>
      <c r="AA94" s="53">
        <f>AVERAGE(V94,X94,Y94,Z94)</f>
        <v>100.01953125</v>
      </c>
      <c r="AB94" s="44">
        <f>+SUM(X94:AA94)</f>
        <v>388.09765625</v>
      </c>
    </row>
    <row r="95" spans="1:28" outlineLevel="1" x14ac:dyDescent="0.25">
      <c r="B95" s="43" t="s">
        <v>98</v>
      </c>
      <c r="C95" s="65"/>
      <c r="D95" s="30"/>
      <c r="E95" s="30">
        <f>AVERAGE(E93,D93)</f>
        <v>3261.5</v>
      </c>
      <c r="F95" s="30">
        <f t="shared" ref="F95:G95" si="205">AVERAGE(F93,E93)</f>
        <v>3387</v>
      </c>
      <c r="G95" s="30">
        <f t="shared" si="205"/>
        <v>3542</v>
      </c>
      <c r="H95" s="45"/>
      <c r="I95" s="30">
        <f>AVERAGE(I93,G93)</f>
        <v>3731.5</v>
      </c>
      <c r="J95" s="30">
        <f>AVERAGE(J93,I93)</f>
        <v>3891</v>
      </c>
      <c r="K95" s="30">
        <f t="shared" ref="K95:L95" si="206">AVERAGE(K93,J93)</f>
        <v>4018</v>
      </c>
      <c r="L95" s="30">
        <f t="shared" si="206"/>
        <v>4247</v>
      </c>
      <c r="M95" s="44"/>
      <c r="N95" s="30">
        <f>AVERAGE(N93,L93)</f>
        <v>3753</v>
      </c>
      <c r="O95" s="30">
        <f>AVERAGE(O93,N93)</f>
        <v>3138</v>
      </c>
      <c r="P95" s="30">
        <f t="shared" ref="P95:Q95" si="207">AVERAGE(P93,O93)</f>
        <v>3226</v>
      </c>
      <c r="Q95" s="30">
        <f t="shared" si="207"/>
        <v>3322</v>
      </c>
      <c r="R95" s="44"/>
      <c r="S95" s="30">
        <f>AVERAGE(S93,Q93)</f>
        <v>3405</v>
      </c>
      <c r="T95" s="30">
        <f>AVERAGE(T93,S93)</f>
        <v>3474.5</v>
      </c>
      <c r="U95" s="30">
        <f t="shared" ref="U95:V95" si="208">AVERAGE(U93,T93)</f>
        <v>3565</v>
      </c>
      <c r="V95" s="30">
        <f t="shared" si="208"/>
        <v>3676</v>
      </c>
      <c r="W95" s="44"/>
      <c r="X95" s="30">
        <f>AVERAGE(X93,V93)</f>
        <v>3777.125</v>
      </c>
      <c r="Y95" s="30">
        <f>AVERAGE(Y93,X93)</f>
        <v>3870.15625</v>
      </c>
      <c r="Z95" s="30">
        <f t="shared" ref="Z95:AA95" si="209">AVERAGE(Z93,Y93)</f>
        <v>3969.0703125</v>
      </c>
      <c r="AA95" s="30">
        <f t="shared" si="209"/>
        <v>4070.087890625</v>
      </c>
      <c r="AB95" s="20"/>
    </row>
    <row r="96" spans="1:28" outlineLevel="1" x14ac:dyDescent="0.25">
      <c r="B96" s="43" t="s">
        <v>97</v>
      </c>
      <c r="C96" s="65"/>
      <c r="D96" s="30"/>
      <c r="E96" s="30"/>
      <c r="F96" s="30"/>
      <c r="G96" s="30"/>
      <c r="H96" s="45"/>
      <c r="I96" s="81">
        <f>+I97/I95</f>
        <v>2.0903122068873108E-2</v>
      </c>
      <c r="J96" s="81">
        <f t="shared" ref="J96" si="210">+J97/J95</f>
        <v>2.0149061937805194E-2</v>
      </c>
      <c r="K96" s="81">
        <f t="shared" ref="K96" si="211">+K97/K95</f>
        <v>2.0482827277252362E-2</v>
      </c>
      <c r="L96" s="81">
        <f>+L97/L95</f>
        <v>2.0885330821756535E-2</v>
      </c>
      <c r="M96" s="44"/>
      <c r="N96" s="81">
        <f>+N97/N95</f>
        <v>2.6219024780175862E-2</v>
      </c>
      <c r="O96" s="81">
        <f t="shared" ref="O96" si="212">+O97/O95</f>
        <v>2.6864244741873804E-2</v>
      </c>
      <c r="P96" s="81">
        <f t="shared" ref="P96" si="213">+P97/P95</f>
        <v>2.7929324240545565E-2</v>
      </c>
      <c r="Q96" s="81">
        <f>+Q97/Q95</f>
        <v>2.7995183624322698E-2</v>
      </c>
      <c r="R96" s="44"/>
      <c r="S96" s="81">
        <f>+S97/S95</f>
        <v>2.9397944199706313E-2</v>
      </c>
      <c r="T96" s="81">
        <f>+T97/T95</f>
        <v>2.8550870628867464E-2</v>
      </c>
      <c r="U96" s="126">
        <f>+P96*(1+2%)</f>
        <v>2.8487910725356478E-2</v>
      </c>
      <c r="V96" s="126">
        <f>+Q96*(1+2%)</f>
        <v>2.8555087296809153E-2</v>
      </c>
      <c r="W96" s="44"/>
      <c r="X96" s="126">
        <f>+S96*(1+3%)</f>
        <v>3.0279882525697504E-2</v>
      </c>
      <c r="Y96" s="126">
        <f>+T96*(1+3%)</f>
        <v>2.9407396747733489E-2</v>
      </c>
      <c r="Z96" s="126">
        <f>+U96*(1+3%)</f>
        <v>2.9342548047117174E-2</v>
      </c>
      <c r="AA96" s="126">
        <f>+V96*(1+3%)</f>
        <v>2.9411739915713428E-2</v>
      </c>
      <c r="AB96" s="20"/>
    </row>
    <row r="97" spans="2:28" s="22" customFormat="1" outlineLevel="1" x14ac:dyDescent="0.25">
      <c r="B97" s="261" t="s">
        <v>112</v>
      </c>
      <c r="C97" s="262"/>
      <c r="D97" s="151"/>
      <c r="E97" s="151"/>
      <c r="F97" s="151"/>
      <c r="G97" s="151"/>
      <c r="H97" s="152"/>
      <c r="I97" s="151">
        <v>78</v>
      </c>
      <c r="J97" s="151">
        <v>78.400000000000006</v>
      </c>
      <c r="K97" s="151">
        <v>82.3</v>
      </c>
      <c r="L97" s="151">
        <v>88.7</v>
      </c>
      <c r="M97" s="153"/>
      <c r="N97" s="151">
        <v>98.4</v>
      </c>
      <c r="O97" s="151">
        <v>84.3</v>
      </c>
      <c r="P97" s="151">
        <v>90.1</v>
      </c>
      <c r="Q97" s="151">
        <v>93</v>
      </c>
      <c r="R97" s="153"/>
      <c r="S97" s="151">
        <v>100.1</v>
      </c>
      <c r="T97" s="151">
        <v>99.2</v>
      </c>
      <c r="U97" s="151">
        <f t="shared" ref="U97" si="214">+U95*U96</f>
        <v>101.55940173589585</v>
      </c>
      <c r="V97" s="151">
        <f t="shared" ref="V97" si="215">+V95*V96</f>
        <v>104.96850090307045</v>
      </c>
      <c r="W97" s="153"/>
      <c r="X97" s="151">
        <f>+X95*X96</f>
        <v>114.37090128487519</v>
      </c>
      <c r="Y97" s="151">
        <f>+Y95*Y96</f>
        <v>113.81122031947044</v>
      </c>
      <c r="Z97" s="151">
        <f t="shared" ref="Z97" si="216">+Z95*Z96</f>
        <v>116.46263634691763</v>
      </c>
      <c r="AA97" s="151">
        <f t="shared" ref="AA97" si="217">+AA95*AA96</f>
        <v>119.70836647315718</v>
      </c>
      <c r="AB97" s="153"/>
    </row>
    <row r="98" spans="2:28" s="22" customFormat="1" outlineLevel="1" x14ac:dyDescent="0.25">
      <c r="B98" s="251" t="s">
        <v>113</v>
      </c>
      <c r="C98" s="252"/>
      <c r="D98" s="37"/>
      <c r="E98" s="37"/>
      <c r="F98" s="37"/>
      <c r="G98" s="37"/>
      <c r="H98" s="114"/>
      <c r="I98" s="106">
        <v>1.3</v>
      </c>
      <c r="J98" s="106">
        <v>2.7</v>
      </c>
      <c r="K98" s="106">
        <v>1.5</v>
      </c>
      <c r="L98" s="106">
        <v>1.2</v>
      </c>
      <c r="M98" s="124"/>
      <c r="N98" s="106">
        <v>2.8</v>
      </c>
      <c r="O98" s="106">
        <v>3.5</v>
      </c>
      <c r="P98" s="106">
        <v>2.4</v>
      </c>
      <c r="Q98" s="106">
        <v>2.2999999999999998</v>
      </c>
      <c r="R98" s="124"/>
      <c r="S98" s="106">
        <v>2.9</v>
      </c>
      <c r="T98" s="106">
        <v>4.4000000000000004</v>
      </c>
      <c r="U98" s="106">
        <f>+P98*(1+U99)</f>
        <v>3.48</v>
      </c>
      <c r="V98" s="106">
        <f t="shared" ref="V98" si="218">+Q98*(1+V99)</f>
        <v>3.3349999999999995</v>
      </c>
      <c r="W98" s="115"/>
      <c r="X98" s="106">
        <f>+S98*(1+X99)</f>
        <v>3.625</v>
      </c>
      <c r="Y98" s="106">
        <f>+T98*(1+Y99)</f>
        <v>6.38</v>
      </c>
      <c r="Z98" s="106">
        <f>+U98*(1+Z99)</f>
        <v>5.0460000000000003</v>
      </c>
      <c r="AA98" s="106">
        <f t="shared" ref="AA98" si="219">+V98*(1+AA99)</f>
        <v>4.8357499999999991</v>
      </c>
      <c r="AB98" s="115"/>
    </row>
    <row r="99" spans="2:28" outlineLevel="1" x14ac:dyDescent="0.25">
      <c r="B99" s="145" t="s">
        <v>102</v>
      </c>
      <c r="C99" s="146"/>
      <c r="D99" s="116"/>
      <c r="E99" s="116"/>
      <c r="F99" s="116"/>
      <c r="G99" s="116"/>
      <c r="H99" s="117"/>
      <c r="I99" s="116"/>
      <c r="J99" s="116"/>
      <c r="K99" s="116"/>
      <c r="L99" s="116"/>
      <c r="M99" s="118"/>
      <c r="N99" s="147">
        <f>+N98/I98-1</f>
        <v>1.1538461538461537</v>
      </c>
      <c r="O99" s="147">
        <f t="shared" ref="O99" si="220">+O98/J98-1</f>
        <v>0.29629629629629628</v>
      </c>
      <c r="P99" s="147">
        <f t="shared" ref="P99" si="221">+P98/K98-1</f>
        <v>0.59999999999999987</v>
      </c>
      <c r="Q99" s="147">
        <f t="shared" ref="Q99" si="222">+Q98/L98-1</f>
        <v>0.91666666666666652</v>
      </c>
      <c r="R99" s="118"/>
      <c r="S99" s="147">
        <f>+S98/N98-1</f>
        <v>3.5714285714285809E-2</v>
      </c>
      <c r="T99" s="147">
        <f>+T98/O98-1</f>
        <v>0.25714285714285734</v>
      </c>
      <c r="U99" s="148">
        <v>0.45</v>
      </c>
      <c r="V99" s="148">
        <v>0.45</v>
      </c>
      <c r="W99" s="118"/>
      <c r="X99" s="148">
        <v>0.25</v>
      </c>
      <c r="Y99" s="148">
        <v>0.45</v>
      </c>
      <c r="Z99" s="148">
        <v>0.45</v>
      </c>
      <c r="AA99" s="148">
        <v>0.45</v>
      </c>
      <c r="AB99" s="118"/>
    </row>
    <row r="100" spans="2:28" outlineLevel="1" x14ac:dyDescent="0.25">
      <c r="B100" s="43" t="s">
        <v>114</v>
      </c>
      <c r="C100" s="100"/>
      <c r="D100" s="30"/>
      <c r="E100" s="30"/>
      <c r="F100" s="30"/>
      <c r="G100" s="30"/>
      <c r="H100" s="45"/>
      <c r="I100" s="30">
        <f>+I93+I82</f>
        <v>6746</v>
      </c>
      <c r="J100" s="30">
        <f t="shared" ref="J100:L100" si="223">+J93+J82</f>
        <v>6933</v>
      </c>
      <c r="K100" s="30">
        <f t="shared" si="223"/>
        <v>7183</v>
      </c>
      <c r="L100" s="30">
        <f t="shared" si="223"/>
        <v>7479</v>
      </c>
      <c r="M100" s="44"/>
      <c r="N100" s="30">
        <f t="shared" ref="N100:Q100" si="224">+N93+N82</f>
        <v>7779</v>
      </c>
      <c r="O100" s="30">
        <f t="shared" si="224"/>
        <v>7995</v>
      </c>
      <c r="P100" s="30">
        <f t="shared" si="224"/>
        <v>8252</v>
      </c>
      <c r="Q100" s="30">
        <f t="shared" si="224"/>
        <v>8530</v>
      </c>
      <c r="R100" s="44"/>
      <c r="S100" s="30">
        <f t="shared" ref="S100:V100" si="225">+S93+S82</f>
        <v>8789</v>
      </c>
      <c r="T100" s="30">
        <f t="shared" si="225"/>
        <v>8993</v>
      </c>
      <c r="U100" s="30">
        <f t="shared" si="225"/>
        <v>9328</v>
      </c>
      <c r="V100" s="30">
        <f t="shared" si="225"/>
        <v>9680</v>
      </c>
      <c r="W100" s="44"/>
      <c r="X100" s="30">
        <f>+X93+X82</f>
        <v>9967.5</v>
      </c>
      <c r="Y100" s="30">
        <f t="shared" ref="Y100:AA100" si="226">+Y93+Y82</f>
        <v>10262.125</v>
      </c>
      <c r="Z100" s="30">
        <f t="shared" si="226"/>
        <v>10579.40625</v>
      </c>
      <c r="AA100" s="30">
        <f t="shared" si="226"/>
        <v>10892.2578125</v>
      </c>
      <c r="AB100" s="20"/>
    </row>
    <row r="101" spans="2:28" outlineLevel="1" x14ac:dyDescent="0.25">
      <c r="B101" s="43" t="s">
        <v>115</v>
      </c>
      <c r="C101" s="100"/>
      <c r="D101" s="30"/>
      <c r="E101" s="30"/>
      <c r="F101" s="30"/>
      <c r="G101" s="30"/>
      <c r="H101" s="45"/>
      <c r="I101" s="30">
        <f>+I94+I83</f>
        <v>303</v>
      </c>
      <c r="J101" s="30">
        <f t="shared" ref="J101:V101" si="227">+J94+J83</f>
        <v>187</v>
      </c>
      <c r="K101" s="30">
        <f t="shared" si="227"/>
        <v>250</v>
      </c>
      <c r="L101" s="30">
        <f t="shared" si="227"/>
        <v>296</v>
      </c>
      <c r="M101" s="44">
        <f t="shared" si="227"/>
        <v>1036</v>
      </c>
      <c r="N101" s="30">
        <f t="shared" si="227"/>
        <v>300</v>
      </c>
      <c r="O101" s="30">
        <f t="shared" si="227"/>
        <v>216</v>
      </c>
      <c r="P101" s="30">
        <f t="shared" si="227"/>
        <v>257</v>
      </c>
      <c r="Q101" s="30">
        <f t="shared" si="227"/>
        <v>278</v>
      </c>
      <c r="R101" s="44">
        <f t="shared" si="227"/>
        <v>1051</v>
      </c>
      <c r="S101" s="30">
        <f t="shared" si="227"/>
        <v>259</v>
      </c>
      <c r="T101" s="30">
        <f t="shared" si="227"/>
        <v>204</v>
      </c>
      <c r="U101" s="30">
        <f t="shared" si="227"/>
        <v>335</v>
      </c>
      <c r="V101" s="30">
        <f t="shared" si="227"/>
        <v>352</v>
      </c>
      <c r="W101" s="200">
        <f>+W94+W83</f>
        <v>1150</v>
      </c>
      <c r="X101" s="30">
        <f>+X94+X83</f>
        <v>287.5</v>
      </c>
      <c r="Y101" s="30">
        <f t="shared" ref="Y101:AA101" si="228">+Y94+Y83</f>
        <v>294.625</v>
      </c>
      <c r="Z101" s="30">
        <f t="shared" si="228"/>
        <v>317.28125</v>
      </c>
      <c r="AA101" s="30">
        <f t="shared" si="228"/>
        <v>312.8515625</v>
      </c>
      <c r="AB101" s="44">
        <f>+AB94+AB83</f>
        <v>1212.2578125</v>
      </c>
    </row>
    <row r="102" spans="2:28" outlineLevel="1" x14ac:dyDescent="0.25">
      <c r="B102" s="253" t="s">
        <v>116</v>
      </c>
      <c r="C102" s="254"/>
      <c r="D102" s="149"/>
      <c r="E102" s="149"/>
      <c r="F102" s="149"/>
      <c r="G102" s="149"/>
      <c r="H102" s="150"/>
      <c r="I102" s="151">
        <f>+I98+I97+I90</f>
        <v>770.8</v>
      </c>
      <c r="J102" s="151">
        <f t="shared" ref="J102:L102" si="229">+J98+J97+J90</f>
        <v>768.9</v>
      </c>
      <c r="K102" s="151">
        <f t="shared" si="229"/>
        <v>840.59999999999991</v>
      </c>
      <c r="L102" s="151">
        <f t="shared" si="229"/>
        <v>859.9</v>
      </c>
      <c r="M102" s="154">
        <f>SUM(I102:L102)</f>
        <v>3240.2</v>
      </c>
      <c r="N102" s="151">
        <f t="shared" ref="N102:Q102" si="230">+N98+N97+N90</f>
        <v>843.7</v>
      </c>
      <c r="O102" s="151">
        <f t="shared" si="230"/>
        <v>1186.3999999999999</v>
      </c>
      <c r="P102" s="151">
        <f t="shared" si="230"/>
        <v>1229</v>
      </c>
      <c r="Q102" s="151">
        <f t="shared" si="230"/>
        <v>1214.5999999999999</v>
      </c>
      <c r="R102" s="154">
        <f>SUM(N102:Q102)</f>
        <v>4473.7</v>
      </c>
      <c r="S102" s="151">
        <f t="shared" ref="S102:V102" si="231">+S98+S97+S90</f>
        <v>1227.3</v>
      </c>
      <c r="T102" s="151">
        <f>+T98+T97+T90</f>
        <v>1289.0999999999999</v>
      </c>
      <c r="U102" s="151">
        <f t="shared" si="231"/>
        <v>1389.0097828896028</v>
      </c>
      <c r="V102" s="151">
        <f t="shared" si="231"/>
        <v>1365.6318980939336</v>
      </c>
      <c r="W102" s="154">
        <f>SUM(S102:V102)</f>
        <v>5271.041680983536</v>
      </c>
      <c r="X102" s="151">
        <f>+X98+X97+X90</f>
        <v>1434.6988879423218</v>
      </c>
      <c r="Y102" s="151">
        <f t="shared" ref="Y102:AA102" si="232">+Y98+Y97+Y90</f>
        <v>1468.1459146116317</v>
      </c>
      <c r="Z102" s="151">
        <f t="shared" si="232"/>
        <v>1605.7424032383801</v>
      </c>
      <c r="AA102" s="151">
        <f t="shared" si="232"/>
        <v>1585.3741773733368</v>
      </c>
      <c r="AB102" s="154">
        <f>SUM(X102:AA102)</f>
        <v>6093.9613831656698</v>
      </c>
    </row>
    <row r="103" spans="2:28" outlineLevel="1" x14ac:dyDescent="0.25">
      <c r="B103" s="255" t="s">
        <v>73</v>
      </c>
      <c r="C103" s="256"/>
      <c r="D103" s="30"/>
      <c r="E103" s="30"/>
      <c r="F103" s="30"/>
      <c r="G103" s="30"/>
      <c r="H103" s="45"/>
      <c r="I103" s="104">
        <v>337.9</v>
      </c>
      <c r="J103" s="104">
        <v>334.1</v>
      </c>
      <c r="K103" s="104">
        <v>354.1</v>
      </c>
      <c r="L103" s="104">
        <v>370.2</v>
      </c>
      <c r="M103" s="170"/>
      <c r="N103" s="104">
        <v>372.3</v>
      </c>
      <c r="O103" s="104">
        <v>511.2</v>
      </c>
      <c r="P103" s="104">
        <v>505.4</v>
      </c>
      <c r="Q103" s="104">
        <v>509.3</v>
      </c>
      <c r="R103" s="170"/>
      <c r="S103" s="104">
        <v>524.9</v>
      </c>
      <c r="T103" s="104">
        <v>547.20000000000005</v>
      </c>
      <c r="U103" s="104">
        <f>+(U102*U114)*(T103/T113)</f>
        <v>577.52652074684772</v>
      </c>
      <c r="V103" s="104">
        <f>+(V102*V114)*(U103/U113)</f>
        <v>569.36630360610627</v>
      </c>
      <c r="W103" s="170"/>
      <c r="X103" s="104">
        <f>+(X102*X114)*(V103/V113)</f>
        <v>602.15386570847636</v>
      </c>
      <c r="Y103" s="104">
        <f>+(Y102*Y114)*(X103/X113)</f>
        <v>623.20180317701113</v>
      </c>
      <c r="Z103" s="104">
        <f>+(Z102*Z114)*(Y103/Y113)</f>
        <v>667.64023895406149</v>
      </c>
      <c r="AA103" s="104">
        <f>+(AA102*AA114)*(Z103/Z113)</f>
        <v>660.98238951763233</v>
      </c>
      <c r="AB103" s="170"/>
    </row>
    <row r="104" spans="2:28" outlineLevel="1" x14ac:dyDescent="0.25">
      <c r="B104" s="43" t="s">
        <v>74</v>
      </c>
      <c r="C104" s="32"/>
      <c r="D104" s="30"/>
      <c r="E104" s="30"/>
      <c r="F104" s="30"/>
      <c r="G104" s="30"/>
      <c r="H104" s="45"/>
      <c r="I104" s="104">
        <v>204.3</v>
      </c>
      <c r="J104" s="104">
        <v>202.5</v>
      </c>
      <c r="K104" s="104">
        <v>212.1</v>
      </c>
      <c r="L104" s="104">
        <v>226.6</v>
      </c>
      <c r="M104" s="105"/>
      <c r="N104" s="104">
        <v>218.6</v>
      </c>
      <c r="O104" s="104">
        <v>306.5</v>
      </c>
      <c r="P104" s="104">
        <v>310.2</v>
      </c>
      <c r="Q104" s="104">
        <v>313.39999999999998</v>
      </c>
      <c r="R104" s="105"/>
      <c r="S104" s="104">
        <v>326.8</v>
      </c>
      <c r="T104" s="104">
        <v>346.1</v>
      </c>
      <c r="U104" s="104">
        <f>+(U102*U114)*(T104/T113)</f>
        <v>365.28130268728796</v>
      </c>
      <c r="V104" s="104">
        <f>+(V102*V114)*(U104/U113)</f>
        <v>360.12002499647912</v>
      </c>
      <c r="W104" s="105"/>
      <c r="X104" s="104">
        <f>+(X102*X114)*(V104/V113)</f>
        <v>380.85791835106659</v>
      </c>
      <c r="Y104" s="104">
        <f>+(Y102*Y114)*(X104/X113)</f>
        <v>394.17058494072285</v>
      </c>
      <c r="Z104" s="104">
        <f>+(Z102*Z114)*(Y104/Y113)</f>
        <v>422.27757072734033</v>
      </c>
      <c r="AA104" s="104">
        <f>+(AA102*AA114)*(Z104/Z113)</f>
        <v>418.06652962728901</v>
      </c>
      <c r="AB104" s="105"/>
    </row>
    <row r="105" spans="2:28" outlineLevel="1" x14ac:dyDescent="0.25">
      <c r="B105" s="43" t="s">
        <v>75</v>
      </c>
      <c r="C105" s="32"/>
      <c r="D105" s="30"/>
      <c r="E105" s="30"/>
      <c r="F105" s="30"/>
      <c r="G105" s="30"/>
      <c r="H105" s="45"/>
      <c r="I105" s="104">
        <v>6.9</v>
      </c>
      <c r="J105" s="104">
        <v>6</v>
      </c>
      <c r="K105" s="104">
        <v>4.4000000000000004</v>
      </c>
      <c r="L105" s="104">
        <v>3.8</v>
      </c>
      <c r="M105" s="105"/>
      <c r="N105" s="104">
        <v>9</v>
      </c>
      <c r="O105" s="104">
        <v>5.0999999999999996</v>
      </c>
      <c r="P105" s="104">
        <v>4.4000000000000004</v>
      </c>
      <c r="Q105" s="104">
        <v>4.3</v>
      </c>
      <c r="R105" s="105"/>
      <c r="S105" s="104">
        <v>8</v>
      </c>
      <c r="T105" s="104">
        <v>5.2</v>
      </c>
      <c r="U105" s="104">
        <f>+(U102*U114)*(T105/T113)</f>
        <v>5.4881906211323246</v>
      </c>
      <c r="V105" s="104">
        <f>+(V102*V114)*(U105/U113)</f>
        <v>5.410644698011243</v>
      </c>
      <c r="W105" s="105"/>
      <c r="X105" s="104">
        <f>+(X102*X114)*(V105/V113)</f>
        <v>5.7222224080483857</v>
      </c>
      <c r="Y105" s="104">
        <f>+(Y102*Y114)*(X105/X113)</f>
        <v>5.9222393576762746</v>
      </c>
      <c r="Z105" s="104">
        <f>+(Z102*Z114)*(Y105/Y113)</f>
        <v>6.3445344345049692</v>
      </c>
      <c r="AA105" s="104">
        <f>+(AA102*AA114)*(Z105/Z113)</f>
        <v>6.2812653974628798</v>
      </c>
      <c r="AB105" s="105"/>
    </row>
    <row r="106" spans="2:28" outlineLevel="1" x14ac:dyDescent="0.25">
      <c r="B106" s="43" t="s">
        <v>76</v>
      </c>
      <c r="C106" s="32"/>
      <c r="D106" s="30"/>
      <c r="E106" s="30"/>
      <c r="F106" s="30"/>
      <c r="G106" s="30"/>
      <c r="H106" s="45"/>
      <c r="I106" s="155">
        <v>48.6</v>
      </c>
      <c r="J106" s="155">
        <v>49.3</v>
      </c>
      <c r="K106" s="155">
        <v>51</v>
      </c>
      <c r="L106" s="155">
        <v>53.3</v>
      </c>
      <c r="M106" s="20"/>
      <c r="N106" s="155">
        <v>53.7</v>
      </c>
      <c r="O106" s="155">
        <v>121.6</v>
      </c>
      <c r="P106" s="155">
        <v>120.7</v>
      </c>
      <c r="Q106" s="155">
        <v>116.1</v>
      </c>
      <c r="R106" s="20"/>
      <c r="S106" s="155">
        <v>116.7</v>
      </c>
      <c r="T106" s="155">
        <v>121.4</v>
      </c>
      <c r="U106" s="240">
        <v>123.31235765</v>
      </c>
      <c r="V106" s="240">
        <v>121</v>
      </c>
      <c r="W106" s="20"/>
      <c r="X106" s="240">
        <v>133.53888056826057</v>
      </c>
      <c r="Y106" s="240">
        <v>137.2415745365341</v>
      </c>
      <c r="Z106" s="240">
        <v>136.63945046769811</v>
      </c>
      <c r="AA106" s="240">
        <v>136.85538956329444</v>
      </c>
      <c r="AB106" s="20"/>
    </row>
    <row r="107" spans="2:28" outlineLevel="1" x14ac:dyDescent="0.25">
      <c r="B107" s="43" t="s">
        <v>77</v>
      </c>
      <c r="C107" s="32"/>
      <c r="D107" s="30"/>
      <c r="E107" s="30"/>
      <c r="F107" s="30"/>
      <c r="G107" s="30"/>
      <c r="H107" s="20"/>
      <c r="I107" s="104">
        <v>52.2</v>
      </c>
      <c r="J107" s="104">
        <v>45.2</v>
      </c>
      <c r="K107" s="104">
        <v>47</v>
      </c>
      <c r="L107" s="104">
        <v>62.9</v>
      </c>
      <c r="M107" s="105"/>
      <c r="N107" s="104">
        <v>44</v>
      </c>
      <c r="O107" s="104">
        <v>54.1</v>
      </c>
      <c r="P107" s="104">
        <v>77.7</v>
      </c>
      <c r="Q107" s="104">
        <v>65.8</v>
      </c>
      <c r="R107" s="105"/>
      <c r="S107" s="104">
        <v>55.2</v>
      </c>
      <c r="T107" s="104">
        <v>59.6</v>
      </c>
      <c r="U107" s="104">
        <f t="shared" ref="U107:V107" si="233">+(U102*U114)*(T107/T113)</f>
        <v>62.90310788836279</v>
      </c>
      <c r="V107" s="104">
        <f t="shared" si="233"/>
        <v>62.014312307975018</v>
      </c>
      <c r="W107" s="105"/>
      <c r="X107" s="104">
        <f>+(X102*X114)*(V107/V113)</f>
        <v>65.585472215323804</v>
      </c>
      <c r="Y107" s="104">
        <f>+(Y102*Y114)*(X107/X113)</f>
        <v>67.877974176443459</v>
      </c>
      <c r="Z107" s="104">
        <f t="shared" ref="Z107:AA107" si="234">+(Z102*Z114)*(Y107/Y113)</f>
        <v>72.718125441633873</v>
      </c>
      <c r="AA107" s="104">
        <f t="shared" si="234"/>
        <v>71.992964940151467</v>
      </c>
      <c r="AB107" s="105"/>
    </row>
    <row r="108" spans="2:28" ht="17.25" outlineLevel="1" x14ac:dyDescent="0.4">
      <c r="B108" s="43" t="s">
        <v>85</v>
      </c>
      <c r="C108" s="32"/>
      <c r="D108" s="30"/>
      <c r="E108" s="30"/>
      <c r="F108" s="30"/>
      <c r="G108" s="30"/>
      <c r="H108" s="20"/>
      <c r="I108" s="156">
        <v>0</v>
      </c>
      <c r="J108" s="156">
        <v>0</v>
      </c>
      <c r="K108" s="156">
        <v>0</v>
      </c>
      <c r="L108" s="156">
        <v>0</v>
      </c>
      <c r="M108" s="171"/>
      <c r="N108" s="156">
        <v>0</v>
      </c>
      <c r="O108" s="156">
        <v>0</v>
      </c>
      <c r="P108" s="156">
        <v>0</v>
      </c>
      <c r="Q108" s="156">
        <v>0</v>
      </c>
      <c r="R108" s="171"/>
      <c r="S108" s="156">
        <v>0.6</v>
      </c>
      <c r="T108" s="156">
        <v>0</v>
      </c>
      <c r="U108" s="156">
        <f t="shared" ref="U108" si="235">+(U102*U114)*(T108/T113)</f>
        <v>0</v>
      </c>
      <c r="V108" s="156">
        <f>+(V102*V114)*(U108/U113)</f>
        <v>0</v>
      </c>
      <c r="W108" s="171"/>
      <c r="X108" s="156">
        <f>+(X102*X114)*(V108/V113)</f>
        <v>0</v>
      </c>
      <c r="Y108" s="156">
        <f>+(Y102*Y114)*(X108/X113)</f>
        <v>0</v>
      </c>
      <c r="Z108" s="156">
        <f t="shared" ref="Z108" si="236">+(Z102*Z114)*(Y108/Y113)</f>
        <v>0</v>
      </c>
      <c r="AA108" s="156">
        <f>+(AA102*AA114)*(Z108/Z113)</f>
        <v>0</v>
      </c>
      <c r="AB108" s="171"/>
    </row>
    <row r="109" spans="2:28" outlineLevel="1" x14ac:dyDescent="0.25">
      <c r="B109" s="102" t="s">
        <v>119</v>
      </c>
      <c r="C109" s="35"/>
      <c r="D109" s="30"/>
      <c r="E109" s="30"/>
      <c r="F109" s="30"/>
      <c r="G109" s="30"/>
      <c r="H109" s="23"/>
      <c r="I109" s="106">
        <f t="shared" ref="I109" si="237">SUM(I103:I108)</f>
        <v>649.90000000000009</v>
      </c>
      <c r="J109" s="106">
        <f t="shared" ref="J109" si="238">SUM(J103:J108)</f>
        <v>637.1</v>
      </c>
      <c r="K109" s="106">
        <f t="shared" ref="K109" si="239">SUM(K103:K108)</f>
        <v>668.6</v>
      </c>
      <c r="L109" s="106">
        <f t="shared" ref="L109" si="240">SUM(L103:L108)</f>
        <v>716.79999999999984</v>
      </c>
      <c r="M109" s="20"/>
      <c r="N109" s="106">
        <f>SUM(N103:N108)</f>
        <v>697.6</v>
      </c>
      <c r="O109" s="106">
        <f t="shared" ref="O109" si="241">SUM(O103:O108)</f>
        <v>998.50000000000011</v>
      </c>
      <c r="P109" s="106">
        <f t="shared" ref="P109" si="242">SUM(P103:P108)</f>
        <v>1018.4</v>
      </c>
      <c r="Q109" s="106">
        <f t="shared" ref="Q109" si="243">SUM(Q103:Q108)</f>
        <v>1008.9</v>
      </c>
      <c r="R109" s="20"/>
      <c r="S109" s="106">
        <f t="shared" ref="S109:T109" si="244">SUM(S103:S108)</f>
        <v>1032.2</v>
      </c>
      <c r="T109" s="106">
        <f t="shared" si="244"/>
        <v>1079.5</v>
      </c>
      <c r="U109" s="106">
        <f t="shared" ref="U109" si="245">SUM(U103:U108)</f>
        <v>1134.5114795936306</v>
      </c>
      <c r="V109" s="106">
        <f t="shared" ref="V109" si="246">SUM(V103:V108)</f>
        <v>1117.9112856085715</v>
      </c>
      <c r="W109" s="20"/>
      <c r="X109" s="106">
        <f t="shared" ref="X109" si="247">SUM(X103:X108)</f>
        <v>1187.8583592511757</v>
      </c>
      <c r="Y109" s="106">
        <f t="shared" ref="Y109" si="248">SUM(Y103:Y108)</f>
        <v>1228.414176188388</v>
      </c>
      <c r="Z109" s="106">
        <f t="shared" ref="Z109" si="249">SUM(Z103:Z108)</f>
        <v>1305.6199200252388</v>
      </c>
      <c r="AA109" s="106">
        <f t="shared" ref="AA109" si="250">SUM(AA103:AA108)</f>
        <v>1294.1785390458303</v>
      </c>
      <c r="AB109" s="20"/>
    </row>
    <row r="110" spans="2:28" ht="17.25" outlineLevel="1" x14ac:dyDescent="0.4">
      <c r="B110" s="43" t="s">
        <v>78</v>
      </c>
      <c r="C110" s="32"/>
      <c r="D110" s="30"/>
      <c r="E110" s="30"/>
      <c r="F110" s="30"/>
      <c r="G110" s="30"/>
      <c r="H110" s="20"/>
      <c r="I110" s="156">
        <v>42.5</v>
      </c>
      <c r="J110" s="156">
        <v>44.1</v>
      </c>
      <c r="K110" s="156">
        <v>51.8</v>
      </c>
      <c r="L110" s="156">
        <v>58.6</v>
      </c>
      <c r="M110" s="94"/>
      <c r="N110" s="156">
        <v>50.7</v>
      </c>
      <c r="O110" s="156">
        <v>16.7</v>
      </c>
      <c r="P110" s="156">
        <v>23.5</v>
      </c>
      <c r="Q110" s="156">
        <v>26.5</v>
      </c>
      <c r="R110" s="94"/>
      <c r="S110" s="156">
        <v>26.4</v>
      </c>
      <c r="T110" s="218">
        <v>22.1</v>
      </c>
      <c r="U110" s="112">
        <f>AVERAGE(T110,S110,Q110,P110)</f>
        <v>24.625</v>
      </c>
      <c r="V110" s="112">
        <f>AVERAGE(U110,T110,S110,Q110)</f>
        <v>24.90625</v>
      </c>
      <c r="W110" s="94"/>
      <c r="X110" s="112">
        <f>AVERAGE(V110,U110,T110,S110)</f>
        <v>24.5078125</v>
      </c>
      <c r="Y110" s="112">
        <f>AVERAGE(X110,V110,U110,T110)</f>
        <v>24.034765624999999</v>
      </c>
      <c r="Z110" s="112">
        <f>AVERAGE(Y110,X110,V110,U110)</f>
        <v>24.518457031250001</v>
      </c>
      <c r="AA110" s="112">
        <f>AVERAGE(Z110,Y110,X110,V110)</f>
        <v>24.4918212890625</v>
      </c>
      <c r="AB110" s="94"/>
    </row>
    <row r="111" spans="2:28" outlineLevel="1" x14ac:dyDescent="0.25">
      <c r="B111" s="102" t="s">
        <v>118</v>
      </c>
      <c r="C111" s="93"/>
      <c r="D111" s="30"/>
      <c r="E111" s="30"/>
      <c r="F111" s="30"/>
      <c r="G111" s="30"/>
      <c r="H111" s="23"/>
      <c r="I111" s="157">
        <f>+I102-I109+I110</f>
        <v>163.39999999999986</v>
      </c>
      <c r="J111" s="157">
        <f t="shared" ref="J111:L111" si="251">+J102-J109+J110</f>
        <v>175.89999999999995</v>
      </c>
      <c r="K111" s="157">
        <f t="shared" si="251"/>
        <v>223.7999999999999</v>
      </c>
      <c r="L111" s="157">
        <f t="shared" si="251"/>
        <v>201.70000000000013</v>
      </c>
      <c r="M111" s="204">
        <f>SUM(I111:L111)</f>
        <v>764.79999999999984</v>
      </c>
      <c r="N111" s="157">
        <f>+N102-N109+N110</f>
        <v>196.8</v>
      </c>
      <c r="O111" s="157">
        <f t="shared" ref="O111:AA111" si="252">+O102-O109+O110</f>
        <v>204.59999999999974</v>
      </c>
      <c r="P111" s="157">
        <f t="shared" si="252"/>
        <v>234.10000000000002</v>
      </c>
      <c r="Q111" s="157">
        <f t="shared" si="252"/>
        <v>232.19999999999993</v>
      </c>
      <c r="R111" s="204">
        <f>SUM(N111:Q111)</f>
        <v>867.6999999999997</v>
      </c>
      <c r="S111" s="157">
        <f t="shared" si="252"/>
        <v>221.49999999999991</v>
      </c>
      <c r="T111" s="157">
        <f t="shared" si="252"/>
        <v>231.6999999999999</v>
      </c>
      <c r="U111" s="157">
        <f t="shared" si="252"/>
        <v>279.12330329597216</v>
      </c>
      <c r="V111" s="157">
        <f t="shared" si="252"/>
        <v>272.62686248536215</v>
      </c>
      <c r="W111" s="204">
        <f>SUM(S111:V111)</f>
        <v>1004.9501657813341</v>
      </c>
      <c r="X111" s="157">
        <f t="shared" si="252"/>
        <v>271.34834119114612</v>
      </c>
      <c r="Y111" s="157">
        <f t="shared" si="252"/>
        <v>263.76650404824375</v>
      </c>
      <c r="Z111" s="157">
        <f t="shared" si="252"/>
        <v>324.64094024439135</v>
      </c>
      <c r="AA111" s="157">
        <f t="shared" si="252"/>
        <v>315.68745961656896</v>
      </c>
      <c r="AB111" s="204">
        <f>SUM(X111:AA111)</f>
        <v>1175.4432451003502</v>
      </c>
    </row>
    <row r="112" spans="2:28" outlineLevel="1" x14ac:dyDescent="0.25">
      <c r="B112" s="102" t="s">
        <v>117</v>
      </c>
      <c r="C112" s="93"/>
      <c r="D112" s="30"/>
      <c r="E112" s="30"/>
      <c r="F112" s="30"/>
      <c r="G112" s="30"/>
      <c r="H112" s="20"/>
      <c r="I112" s="158">
        <f t="shared" ref="I112" si="253">+I111/I102</f>
        <v>0.2119875454073688</v>
      </c>
      <c r="J112" s="158">
        <f t="shared" ref="J112" si="254">+J111/J102</f>
        <v>0.22876837039927161</v>
      </c>
      <c r="K112" s="158">
        <f t="shared" ref="K112" si="255">+K111/K102</f>
        <v>0.26623840114204128</v>
      </c>
      <c r="L112" s="158">
        <f t="shared" ref="L112" si="256">+L111/L102</f>
        <v>0.23456215839051067</v>
      </c>
      <c r="M112" s="205">
        <f>M111/M102</f>
        <v>0.23603481266588477</v>
      </c>
      <c r="N112" s="158">
        <f>+N111/N102</f>
        <v>0.23325826715657225</v>
      </c>
      <c r="O112" s="158">
        <f t="shared" ref="O112" si="257">+O111/O102</f>
        <v>0.1724544841537422</v>
      </c>
      <c r="P112" s="158">
        <f t="shared" ref="P112" si="258">+P111/P102</f>
        <v>0.19048006509357202</v>
      </c>
      <c r="Q112" s="158">
        <f t="shared" ref="Q112" si="259">+Q111/Q102</f>
        <v>0.19117404906965252</v>
      </c>
      <c r="R112" s="205">
        <f>R111/R102</f>
        <v>0.19395578603840216</v>
      </c>
      <c r="S112" s="158">
        <f t="shared" ref="S112" si="260">+S111/S102</f>
        <v>0.18047747087101762</v>
      </c>
      <c r="T112" s="158">
        <f t="shared" ref="T112" si="261">+T111/T102</f>
        <v>0.17973780156698466</v>
      </c>
      <c r="U112" s="158">
        <f t="shared" ref="U112" si="262">+U111/U102</f>
        <v>0.20095128683348995</v>
      </c>
      <c r="V112" s="158">
        <f t="shared" ref="V112" si="263">+V111/V102</f>
        <v>0.19963422271102355</v>
      </c>
      <c r="W112" s="207">
        <f>W111/W102</f>
        <v>0.19065494575899808</v>
      </c>
      <c r="X112" s="158">
        <f t="shared" ref="X112" si="264">+X111/X102</f>
        <v>0.18913260717746855</v>
      </c>
      <c r="Y112" s="158">
        <f t="shared" ref="Y112" si="265">+Y111/Y102</f>
        <v>0.17965959747128937</v>
      </c>
      <c r="Z112" s="158">
        <f t="shared" ref="Z112" si="266">+Z111/Z102</f>
        <v>0.20217498123588934</v>
      </c>
      <c r="AA112" s="158">
        <f t="shared" ref="AA112" si="267">+AA111/AA102</f>
        <v>0.19912489059182417</v>
      </c>
      <c r="AB112" s="205">
        <f>AB111/AB102</f>
        <v>0.19288655952882575</v>
      </c>
    </row>
    <row r="113" spans="1:28" s="160" customFormat="1" outlineLevel="1" x14ac:dyDescent="0.25">
      <c r="B113" s="164" t="s">
        <v>110</v>
      </c>
      <c r="C113" s="161"/>
      <c r="D113" s="162"/>
      <c r="E113" s="162"/>
      <c r="F113" s="162"/>
      <c r="G113" s="162"/>
      <c r="H113" s="163"/>
      <c r="I113" s="130">
        <f>+I109-I106</f>
        <v>601.30000000000007</v>
      </c>
      <c r="J113" s="130">
        <f t="shared" ref="J113:L113" si="268">+J109-J106</f>
        <v>587.80000000000007</v>
      </c>
      <c r="K113" s="130">
        <f t="shared" si="268"/>
        <v>617.6</v>
      </c>
      <c r="L113" s="130">
        <f t="shared" si="268"/>
        <v>663.49999999999989</v>
      </c>
      <c r="M113" s="165"/>
      <c r="N113" s="130">
        <f t="shared" ref="N113:Q113" si="269">+N109-N106</f>
        <v>643.9</v>
      </c>
      <c r="O113" s="130">
        <f t="shared" si="269"/>
        <v>876.90000000000009</v>
      </c>
      <c r="P113" s="130">
        <f t="shared" si="269"/>
        <v>897.69999999999993</v>
      </c>
      <c r="Q113" s="130">
        <f t="shared" si="269"/>
        <v>892.8</v>
      </c>
      <c r="R113" s="165"/>
      <c r="S113" s="130">
        <f t="shared" ref="S113:V113" si="270">+S109-S106</f>
        <v>915.5</v>
      </c>
      <c r="T113" s="130">
        <f t="shared" si="270"/>
        <v>958.1</v>
      </c>
      <c r="U113" s="130">
        <f t="shared" si="270"/>
        <v>1011.1991219436306</v>
      </c>
      <c r="V113" s="130">
        <f t="shared" si="270"/>
        <v>996.91128560857146</v>
      </c>
      <c r="W113" s="133"/>
      <c r="X113" s="130">
        <f t="shared" ref="X113:AA113" si="271">+X109-X106</f>
        <v>1054.3194786829151</v>
      </c>
      <c r="Y113" s="130">
        <f t="shared" si="271"/>
        <v>1091.1726016518539</v>
      </c>
      <c r="Z113" s="130">
        <f t="shared" si="271"/>
        <v>1168.9804695575408</v>
      </c>
      <c r="AA113" s="130">
        <f t="shared" si="271"/>
        <v>1157.3231494825359</v>
      </c>
      <c r="AB113" s="163"/>
    </row>
    <row r="114" spans="1:28" s="160" customFormat="1" outlineLevel="1" x14ac:dyDescent="0.25">
      <c r="B114" s="164" t="s">
        <v>111</v>
      </c>
      <c r="C114" s="161"/>
      <c r="D114" s="162"/>
      <c r="E114" s="162"/>
      <c r="F114" s="162"/>
      <c r="G114" s="162"/>
      <c r="H114" s="163"/>
      <c r="I114" s="166">
        <f>+I113/I102</f>
        <v>0.78009859885832911</v>
      </c>
      <c r="J114" s="166">
        <f t="shared" ref="J114" si="272">+J113/J102</f>
        <v>0.76446872155026668</v>
      </c>
      <c r="K114" s="166">
        <f t="shared" ref="K114" si="273">+K113/K102</f>
        <v>0.73471330002379265</v>
      </c>
      <c r="L114" s="166">
        <f t="shared" ref="L114" si="274">+L113/L102</f>
        <v>0.77160134899406896</v>
      </c>
      <c r="M114" s="167"/>
      <c r="N114" s="166">
        <f t="shared" ref="N114" si="275">+N113/N102</f>
        <v>0.76318596657579707</v>
      </c>
      <c r="O114" s="166">
        <f t="shared" ref="O114" si="276">+O113/O102</f>
        <v>0.73912677006068794</v>
      </c>
      <c r="P114" s="166">
        <f t="shared" ref="P114" si="277">+P113/P102</f>
        <v>0.73043124491456468</v>
      </c>
      <c r="Q114" s="166">
        <f t="shared" ref="Q114" si="278">+Q113/Q102</f>
        <v>0.73505680882595092</v>
      </c>
      <c r="R114" s="167"/>
      <c r="S114" s="243">
        <f>AVERAGE(O114:R114)</f>
        <v>0.73487160793373452</v>
      </c>
      <c r="T114" s="244">
        <f t="shared" ref="T114" si="279">+T113/T102</f>
        <v>0.74323171204716476</v>
      </c>
      <c r="U114" s="168">
        <v>0.72799999999999998</v>
      </c>
      <c r="V114" s="168">
        <v>0.73</v>
      </c>
      <c r="W114" s="167"/>
      <c r="X114" s="168">
        <f>+S114</f>
        <v>0.73487160793373452</v>
      </c>
      <c r="Y114" s="168">
        <f>+T114</f>
        <v>0.74323171204716476</v>
      </c>
      <c r="Z114" s="168">
        <f>+U114</f>
        <v>0.72799999999999998</v>
      </c>
      <c r="AA114" s="168">
        <f>+V114</f>
        <v>0.73</v>
      </c>
      <c r="AB114" s="163"/>
    </row>
    <row r="115" spans="1:28" ht="18" x14ac:dyDescent="0.4">
      <c r="B115" s="245" t="s">
        <v>121</v>
      </c>
      <c r="C115" s="246"/>
      <c r="D115" s="28" t="s">
        <v>44</v>
      </c>
      <c r="E115" s="28" t="s">
        <v>45</v>
      </c>
      <c r="F115" s="28" t="s">
        <v>46</v>
      </c>
      <c r="G115" s="28" t="s">
        <v>47</v>
      </c>
      <c r="H115" s="75" t="s">
        <v>48</v>
      </c>
      <c r="I115" s="28" t="s">
        <v>37</v>
      </c>
      <c r="J115" s="28" t="s">
        <v>38</v>
      </c>
      <c r="K115" s="28" t="s">
        <v>39</v>
      </c>
      <c r="L115" s="28" t="s">
        <v>40</v>
      </c>
      <c r="M115" s="75" t="s">
        <v>41</v>
      </c>
      <c r="N115" s="28" t="s">
        <v>50</v>
      </c>
      <c r="O115" s="28" t="s">
        <v>51</v>
      </c>
      <c r="P115" s="28" t="s">
        <v>52</v>
      </c>
      <c r="Q115" s="28" t="s">
        <v>53</v>
      </c>
      <c r="R115" s="75" t="s">
        <v>54</v>
      </c>
      <c r="S115" s="28" t="s">
        <v>55</v>
      </c>
      <c r="T115" s="28" t="s">
        <v>182</v>
      </c>
      <c r="U115" s="26" t="s">
        <v>62</v>
      </c>
      <c r="V115" s="26" t="s">
        <v>63</v>
      </c>
      <c r="W115" s="77" t="s">
        <v>64</v>
      </c>
      <c r="X115" s="26" t="s">
        <v>65</v>
      </c>
      <c r="Y115" s="26" t="s">
        <v>66</v>
      </c>
      <c r="Z115" s="26" t="s">
        <v>67</v>
      </c>
      <c r="AA115" s="26" t="s">
        <v>68</v>
      </c>
      <c r="AB115" s="77" t="s">
        <v>69</v>
      </c>
    </row>
    <row r="116" spans="1:28" s="22" customFormat="1" outlineLevel="1" x14ac:dyDescent="0.25">
      <c r="A116" s="228"/>
      <c r="B116" s="257" t="s">
        <v>120</v>
      </c>
      <c r="C116" s="258"/>
      <c r="D116" s="37">
        <v>698</v>
      </c>
      <c r="E116" s="37">
        <v>688</v>
      </c>
      <c r="F116" s="37">
        <v>541</v>
      </c>
      <c r="G116" s="37">
        <v>523</v>
      </c>
      <c r="H116" s="114"/>
      <c r="I116" s="37">
        <v>505</v>
      </c>
      <c r="J116" s="37">
        <v>505</v>
      </c>
      <c r="K116" s="37">
        <v>506</v>
      </c>
      <c r="L116" s="37">
        <v>502</v>
      </c>
      <c r="M116" s="115"/>
      <c r="N116" s="37">
        <v>503</v>
      </c>
      <c r="O116" s="37">
        <v>496</v>
      </c>
      <c r="P116" s="37">
        <v>496</v>
      </c>
      <c r="Q116" s="37">
        <v>490</v>
      </c>
      <c r="R116" s="115"/>
      <c r="S116" s="37">
        <v>487</v>
      </c>
      <c r="T116" s="37">
        <v>392</v>
      </c>
      <c r="U116" s="37">
        <f t="shared" ref="U116" si="280">+T116+U117</f>
        <v>367</v>
      </c>
      <c r="V116" s="37">
        <f t="shared" ref="V116" si="281">+U116+V117</f>
        <v>342</v>
      </c>
      <c r="W116" s="115"/>
      <c r="X116" s="37">
        <f>+V116+X117</f>
        <v>305</v>
      </c>
      <c r="Y116" s="37">
        <f>+X116+Y117</f>
        <v>259.5</v>
      </c>
      <c r="Z116" s="37">
        <f t="shared" ref="Z116" si="282">+Y116+Z117</f>
        <v>226.375</v>
      </c>
      <c r="AA116" s="37">
        <f t="shared" ref="AA116" si="283">+Z116+AA117</f>
        <v>191.21875</v>
      </c>
      <c r="AB116" s="115"/>
    </row>
    <row r="117" spans="1:28" outlineLevel="1" x14ac:dyDescent="0.25">
      <c r="B117" s="43" t="s">
        <v>91</v>
      </c>
      <c r="C117" s="65"/>
      <c r="D117" s="30"/>
      <c r="E117" s="30"/>
      <c r="F117" s="30"/>
      <c r="G117" s="30"/>
      <c r="H117" s="45"/>
      <c r="I117" s="30">
        <f>+I116-G116</f>
        <v>-18</v>
      </c>
      <c r="J117" s="30">
        <f>+J116-I116</f>
        <v>0</v>
      </c>
      <c r="K117" s="30">
        <f>+K116-J116</f>
        <v>1</v>
      </c>
      <c r="L117" s="30">
        <f>+L116-K116</f>
        <v>-4</v>
      </c>
      <c r="M117" s="44">
        <f>+SUM(I117:L117)</f>
        <v>-21</v>
      </c>
      <c r="N117" s="30">
        <f>+N116-L116</f>
        <v>1</v>
      </c>
      <c r="O117" s="30">
        <f>+O116-N116</f>
        <v>-7</v>
      </c>
      <c r="P117" s="30">
        <f>+P116-O116</f>
        <v>0</v>
      </c>
      <c r="Q117" s="30">
        <f>+Q116-P116</f>
        <v>-6</v>
      </c>
      <c r="R117" s="44">
        <f>+SUM(N117:Q117)</f>
        <v>-12</v>
      </c>
      <c r="S117" s="30">
        <f>+S116-Q116</f>
        <v>-3</v>
      </c>
      <c r="T117" s="216">
        <v>-95</v>
      </c>
      <c r="U117" s="53">
        <v>-25</v>
      </c>
      <c r="V117" s="53">
        <v>-25</v>
      </c>
      <c r="W117" s="44">
        <f>+SUM(S117:V117)</f>
        <v>-148</v>
      </c>
      <c r="X117" s="53">
        <f>AVERAGE(S117,T117,U117,V117)</f>
        <v>-37</v>
      </c>
      <c r="Y117" s="53">
        <f>AVERAGE(T117,U117,V117,X117)</f>
        <v>-45.5</v>
      </c>
      <c r="Z117" s="53">
        <f>AVERAGE(U117,V117,X117,Y117)</f>
        <v>-33.125</v>
      </c>
      <c r="AA117" s="53">
        <f>AVERAGE(V117,X117,Y117,Z117)</f>
        <v>-35.15625</v>
      </c>
      <c r="AB117" s="44">
        <f>+SUM(X117:AA117)</f>
        <v>-150.78125</v>
      </c>
    </row>
    <row r="118" spans="1:28" s="127" customFormat="1" outlineLevel="1" x14ac:dyDescent="0.25">
      <c r="B118" s="128" t="s">
        <v>92</v>
      </c>
      <c r="C118" s="129"/>
      <c r="D118" s="130"/>
      <c r="E118" s="130"/>
      <c r="F118" s="130"/>
      <c r="G118" s="130"/>
      <c r="H118" s="131"/>
      <c r="I118" s="132">
        <f>D116</f>
        <v>698</v>
      </c>
      <c r="J118" s="132">
        <f t="shared" ref="J118:L118" si="284">E116</f>
        <v>688</v>
      </c>
      <c r="K118" s="132">
        <f t="shared" si="284"/>
        <v>541</v>
      </c>
      <c r="L118" s="132">
        <f t="shared" si="284"/>
        <v>523</v>
      </c>
      <c r="M118" s="133"/>
      <c r="N118" s="132">
        <f>I116</f>
        <v>505</v>
      </c>
      <c r="O118" s="132">
        <f t="shared" ref="O118" si="285">J116</f>
        <v>505</v>
      </c>
      <c r="P118" s="132">
        <f t="shared" ref="P118" si="286">K116</f>
        <v>506</v>
      </c>
      <c r="Q118" s="132">
        <f t="shared" ref="Q118" si="287">L116</f>
        <v>502</v>
      </c>
      <c r="R118" s="133"/>
      <c r="S118" s="132">
        <f>N116</f>
        <v>503</v>
      </c>
      <c r="T118" s="132">
        <f t="shared" ref="T118" si="288">O116</f>
        <v>496</v>
      </c>
      <c r="U118" s="132">
        <f t="shared" ref="U118" si="289">P116</f>
        <v>496</v>
      </c>
      <c r="V118" s="132">
        <f t="shared" ref="V118" si="290">Q116</f>
        <v>490</v>
      </c>
      <c r="W118" s="133"/>
      <c r="X118" s="132">
        <f>S116</f>
        <v>487</v>
      </c>
      <c r="Y118" s="132">
        <f t="shared" ref="Y118" si="291">T116</f>
        <v>392</v>
      </c>
      <c r="Z118" s="132">
        <f t="shared" ref="Z118" si="292">U116</f>
        <v>367</v>
      </c>
      <c r="AA118" s="132">
        <f t="shared" ref="AA118" si="293">V116</f>
        <v>342</v>
      </c>
      <c r="AB118" s="133"/>
    </row>
    <row r="119" spans="1:28" s="127" customFormat="1" outlineLevel="1" x14ac:dyDescent="0.25">
      <c r="B119" s="128" t="s">
        <v>93</v>
      </c>
      <c r="C119" s="129"/>
      <c r="D119" s="130"/>
      <c r="E119" s="130"/>
      <c r="F119" s="130"/>
      <c r="G119" s="130"/>
      <c r="H119" s="131"/>
      <c r="I119" s="134">
        <v>0.29830049504950507</v>
      </c>
      <c r="J119" s="134">
        <v>0.21491102420069333</v>
      </c>
      <c r="K119" s="134">
        <v>0.28752245777937474</v>
      </c>
      <c r="L119" s="134">
        <v>0.28449003984063742</v>
      </c>
      <c r="M119" s="133"/>
      <c r="N119" s="134">
        <f>I119*(1+N122)</f>
        <v>0.29531749009901004</v>
      </c>
      <c r="O119" s="134">
        <f t="shared" ref="O119" si="294">J119*(1+O122)</f>
        <v>0.2127619139586864</v>
      </c>
      <c r="P119" s="134">
        <f t="shared" ref="P119" si="295">K119*(1+P122)</f>
        <v>0.28752245777937474</v>
      </c>
      <c r="Q119" s="134">
        <f>L119*(1+Q122)</f>
        <v>0.29017984063745017</v>
      </c>
      <c r="R119" s="133"/>
      <c r="S119" s="134">
        <f>N119*(1+S122)</f>
        <v>0.29531749009901004</v>
      </c>
      <c r="T119" s="134">
        <f>+O119*(1+T122)</f>
        <v>0.21701715223786014</v>
      </c>
      <c r="U119" s="134">
        <f t="shared" ref="U119" si="296">+P119*(1+U122)</f>
        <v>0.29039768235716851</v>
      </c>
      <c r="V119" s="134">
        <f t="shared" ref="V119" si="297">+Q119*(1+V122)</f>
        <v>0.29380708864541827</v>
      </c>
      <c r="W119" s="133"/>
      <c r="X119" s="134">
        <f>+S119*(1+X122)</f>
        <v>0.30140841333230212</v>
      </c>
      <c r="Y119" s="134">
        <f>+T119*(1+Y122)</f>
        <v>0.2226121256939925</v>
      </c>
      <c r="Z119" s="134">
        <f t="shared" ref="Z119" si="298">+U119*(1+Z122)</f>
        <v>0.29540023618214944</v>
      </c>
      <c r="AA119" s="134">
        <f t="shared" ref="AA119" si="299">+V119*(1+AA122)</f>
        <v>0.29939917864317139</v>
      </c>
      <c r="AB119" s="133"/>
    </row>
    <row r="120" spans="1:28" outlineLevel="1" x14ac:dyDescent="0.25">
      <c r="B120" s="43" t="s">
        <v>89</v>
      </c>
      <c r="C120" s="100"/>
      <c r="D120" s="50">
        <v>0</v>
      </c>
      <c r="E120" s="50">
        <v>0</v>
      </c>
      <c r="F120" s="50">
        <v>0</v>
      </c>
      <c r="G120" s="50">
        <v>0</v>
      </c>
      <c r="H120" s="48">
        <v>0</v>
      </c>
      <c r="I120" s="50">
        <v>-0.02</v>
      </c>
      <c r="J120" s="50">
        <v>0</v>
      </c>
      <c r="K120" s="50">
        <v>0</v>
      </c>
      <c r="L120" s="50">
        <v>-0.02</v>
      </c>
      <c r="M120" s="48">
        <v>-0.01</v>
      </c>
      <c r="N120" s="50">
        <v>-0.04</v>
      </c>
      <c r="O120" s="50">
        <v>-0.04</v>
      </c>
      <c r="P120" s="50">
        <v>-0.02</v>
      </c>
      <c r="Q120" s="50">
        <v>0</v>
      </c>
      <c r="R120" s="48">
        <v>-0.03</v>
      </c>
      <c r="S120" s="50">
        <v>-0.03</v>
      </c>
      <c r="T120" s="50">
        <v>0</v>
      </c>
      <c r="U120" s="50"/>
      <c r="V120" s="50"/>
      <c r="W120" s="48"/>
      <c r="X120" s="50"/>
      <c r="Y120" s="50"/>
      <c r="Z120" s="50"/>
      <c r="AA120" s="50"/>
      <c r="AB120" s="48"/>
    </row>
    <row r="121" spans="1:28" outlineLevel="1" x14ac:dyDescent="0.25">
      <c r="B121" s="43" t="s">
        <v>88</v>
      </c>
      <c r="C121" s="100"/>
      <c r="D121" s="120">
        <v>0.01</v>
      </c>
      <c r="E121" s="120">
        <v>0.01</v>
      </c>
      <c r="F121" s="120">
        <v>-0.02</v>
      </c>
      <c r="G121" s="120">
        <v>-0.01</v>
      </c>
      <c r="H121" s="121">
        <v>0.01</v>
      </c>
      <c r="I121" s="120">
        <v>0.01</v>
      </c>
      <c r="J121" s="120">
        <v>-0.01</v>
      </c>
      <c r="K121" s="120">
        <v>0.02</v>
      </c>
      <c r="L121" s="120">
        <v>0.03</v>
      </c>
      <c r="M121" s="121">
        <v>0.01</v>
      </c>
      <c r="N121" s="120">
        <v>0.03</v>
      </c>
      <c r="O121" s="120">
        <v>0.03</v>
      </c>
      <c r="P121" s="120">
        <v>0.03</v>
      </c>
      <c r="Q121" s="120">
        <v>0.02</v>
      </c>
      <c r="R121" s="121">
        <v>0.03</v>
      </c>
      <c r="S121" s="120">
        <v>0.03</v>
      </c>
      <c r="T121" s="120">
        <v>0.02</v>
      </c>
      <c r="U121" s="120"/>
      <c r="V121" s="120"/>
      <c r="W121" s="121"/>
      <c r="X121" s="120"/>
      <c r="Y121" s="120"/>
      <c r="Z121" s="120"/>
      <c r="AA121" s="120"/>
      <c r="AB121" s="121"/>
    </row>
    <row r="122" spans="1:28" s="22" customFormat="1" outlineLevel="1" x14ac:dyDescent="0.25">
      <c r="B122" s="73" t="s">
        <v>90</v>
      </c>
      <c r="C122" s="67"/>
      <c r="D122" s="119">
        <v>0.01</v>
      </c>
      <c r="E122" s="119">
        <v>0.01</v>
      </c>
      <c r="F122" s="119">
        <v>-0.01</v>
      </c>
      <c r="G122" s="119">
        <v>-0.01</v>
      </c>
      <c r="H122" s="122">
        <v>0</v>
      </c>
      <c r="I122" s="119">
        <v>-0.01</v>
      </c>
      <c r="J122" s="119">
        <v>-0.01</v>
      </c>
      <c r="K122" s="119">
        <v>0.02</v>
      </c>
      <c r="L122" s="119">
        <v>0.01</v>
      </c>
      <c r="M122" s="122">
        <v>0.01</v>
      </c>
      <c r="N122" s="119">
        <v>-0.01</v>
      </c>
      <c r="O122" s="119">
        <v>-0.01</v>
      </c>
      <c r="P122" s="119">
        <v>0</v>
      </c>
      <c r="Q122" s="119">
        <v>0.02</v>
      </c>
      <c r="R122" s="122">
        <v>0</v>
      </c>
      <c r="S122" s="119">
        <v>0</v>
      </c>
      <c r="T122" s="227">
        <v>0.02</v>
      </c>
      <c r="U122" s="125">
        <f>AVERAGE(T122,S122,Q122,P122)</f>
        <v>0.01</v>
      </c>
      <c r="V122" s="125">
        <f>AVERAGE(U122,T122,S122,Q122)</f>
        <v>1.2500000000000001E-2</v>
      </c>
      <c r="W122" s="122"/>
      <c r="X122" s="237">
        <f>AVERAGE(V122,U122,T122,S122)+1%</f>
        <v>2.0624999999999998E-2</v>
      </c>
      <c r="Y122" s="125">
        <f>AVERAGE(X122,V122,U122,T122)+1%</f>
        <v>2.5781249999999999E-2</v>
      </c>
      <c r="Z122" s="125">
        <f>AVERAGE(Y122,X122,V122,U122)</f>
        <v>1.7226562499999997E-2</v>
      </c>
      <c r="AA122" s="125">
        <f>AVERAGE(Z122,Y122,X122,V122)</f>
        <v>1.9033203124999998E-2</v>
      </c>
      <c r="AB122" s="122"/>
    </row>
    <row r="123" spans="1:28" ht="17.25" outlineLevel="1" x14ac:dyDescent="0.4">
      <c r="B123" s="101" t="s">
        <v>151</v>
      </c>
      <c r="C123" s="100"/>
      <c r="D123" s="30"/>
      <c r="E123" s="30"/>
      <c r="F123" s="30"/>
      <c r="G123" s="30"/>
      <c r="H123" s="45"/>
      <c r="I123" s="52">
        <f>+(I116-I118)*I125-7</f>
        <v>-62.759801980198027</v>
      </c>
      <c r="J123" s="52">
        <f>+(J116-J118)*J125+26</f>
        <v>-20.202970297029701</v>
      </c>
      <c r="K123" s="52">
        <f>+(K116-K118)*K125-10</f>
        <v>-19.420948616600789</v>
      </c>
      <c r="L123" s="52">
        <f>+(L116-L118)*L125-1</f>
        <v>-6.9151394422310757</v>
      </c>
      <c r="M123" s="94"/>
      <c r="N123" s="52">
        <f>+(N116-N118)*N125+3</f>
        <v>2.3972166998011928</v>
      </c>
      <c r="O123" s="52">
        <f>+(O116-O118)*O125+34</f>
        <v>31.483266129032259</v>
      </c>
      <c r="P123" s="52">
        <f>+(P116-P118)*P125</f>
        <v>-2.8810483870967745</v>
      </c>
      <c r="Q123" s="52">
        <f>+(Q116-Q118)*Q125</f>
        <v>-3.4897959183673466</v>
      </c>
      <c r="R123" s="20"/>
      <c r="S123" s="52">
        <f>+(S116-S118)*S125</f>
        <v>-4.7145790554414786</v>
      </c>
      <c r="T123" s="52">
        <f>+(T116-T118)*T125+33</f>
        <v>3.5244897959183703</v>
      </c>
      <c r="U123" s="52">
        <f>AVERAGE(T123,S123,Q123,P123)</f>
        <v>-1.8902333912468072</v>
      </c>
      <c r="V123" s="52">
        <f>AVERAGE(U123,T123,S123,Q123)</f>
        <v>-1.6425296422843156</v>
      </c>
      <c r="W123" s="20"/>
      <c r="X123" s="52">
        <f>AVERAGE(V123,U123,T123,S123)</f>
        <v>-1.1807130732635578</v>
      </c>
      <c r="Y123" s="52">
        <f>AVERAGE(X123,V123,U123,T123)</f>
        <v>-0.29724657771907759</v>
      </c>
      <c r="Z123" s="52">
        <f>AVERAGE(Y123,X123,V123,U123)</f>
        <v>-1.2526806711284397</v>
      </c>
      <c r="AA123" s="52">
        <f>AVERAGE(Z123,Y123,X123,V123)</f>
        <v>-1.0932924910988477</v>
      </c>
      <c r="AB123" s="20"/>
    </row>
    <row r="124" spans="1:28" s="22" customFormat="1" outlineLevel="1" x14ac:dyDescent="0.25">
      <c r="B124" s="251" t="s">
        <v>122</v>
      </c>
      <c r="C124" s="252"/>
      <c r="D124" s="106"/>
      <c r="E124" s="106"/>
      <c r="F124" s="106"/>
      <c r="G124" s="106"/>
      <c r="H124" s="123"/>
      <c r="I124" s="106">
        <v>145.9</v>
      </c>
      <c r="J124" s="106">
        <v>127.5</v>
      </c>
      <c r="K124" s="106">
        <v>136.19999999999999</v>
      </c>
      <c r="L124" s="106">
        <v>141.4</v>
      </c>
      <c r="M124" s="124"/>
      <c r="N124" s="106">
        <v>151.6</v>
      </c>
      <c r="O124" s="106">
        <v>138.69999999999999</v>
      </c>
      <c r="P124" s="106">
        <v>142.9</v>
      </c>
      <c r="Q124" s="106">
        <v>142.5</v>
      </c>
      <c r="R124" s="124"/>
      <c r="S124" s="106">
        <v>143.5</v>
      </c>
      <c r="T124" s="106">
        <v>111.1</v>
      </c>
      <c r="U124" s="106">
        <f t="shared" ref="U124" si="300">+U118*U119+U123</f>
        <v>142.14701705790878</v>
      </c>
      <c r="V124" s="106">
        <f t="shared" ref="V124" si="301">+V118*V119+V123</f>
        <v>142.32294379397064</v>
      </c>
      <c r="W124" s="124"/>
      <c r="X124" s="106">
        <f>+X118*X119+X123</f>
        <v>145.60518421956758</v>
      </c>
      <c r="Y124" s="106">
        <f>+Y118*Y119+Y123</f>
        <v>86.966706694325978</v>
      </c>
      <c r="Z124" s="106">
        <f t="shared" ref="Z124" si="302">+Z118*Z119+Z123</f>
        <v>107.1592060077204</v>
      </c>
      <c r="AA124" s="106">
        <f t="shared" ref="AA124" si="303">+AA118*AA119+AA123</f>
        <v>101.30122660486576</v>
      </c>
      <c r="AB124" s="124"/>
    </row>
    <row r="125" spans="1:28" s="22" customFormat="1" outlineLevel="1" x14ac:dyDescent="0.25">
      <c r="B125" s="135" t="s">
        <v>96</v>
      </c>
      <c r="C125" s="67"/>
      <c r="D125" s="106"/>
      <c r="E125" s="106"/>
      <c r="F125" s="106"/>
      <c r="G125" s="106"/>
      <c r="H125" s="123"/>
      <c r="I125" s="140">
        <f>+I124/I116</f>
        <v>0.28891089108910895</v>
      </c>
      <c r="J125" s="140">
        <f t="shared" ref="J125" si="304">+J124/J116</f>
        <v>0.25247524752475248</v>
      </c>
      <c r="K125" s="140">
        <f t="shared" ref="K125" si="305">+K124/K116</f>
        <v>0.2691699604743083</v>
      </c>
      <c r="L125" s="140">
        <f t="shared" ref="L125" si="306">+L124/L116</f>
        <v>0.28167330677290836</v>
      </c>
      <c r="M125" s="141"/>
      <c r="N125" s="140">
        <f t="shared" ref="N125" si="307">+N124/N116</f>
        <v>0.30139165009940355</v>
      </c>
      <c r="O125" s="140">
        <f t="shared" ref="O125" si="308">+O124/O116</f>
        <v>0.27963709677419352</v>
      </c>
      <c r="P125" s="140">
        <f t="shared" ref="P125" si="309">+P124/P116</f>
        <v>0.28810483870967746</v>
      </c>
      <c r="Q125" s="140">
        <f t="shared" ref="Q125" si="310">+Q124/Q116</f>
        <v>0.29081632653061223</v>
      </c>
      <c r="R125" s="141"/>
      <c r="S125" s="140">
        <f t="shared" ref="S125" si="311">+S124/S116</f>
        <v>0.29466119096509241</v>
      </c>
      <c r="T125" s="140">
        <f t="shared" ref="T125" si="312">+T124/T116</f>
        <v>0.28341836734693876</v>
      </c>
      <c r="U125" s="140">
        <f t="shared" ref="U125" si="313">+U124/U116</f>
        <v>0.38732157236487408</v>
      </c>
      <c r="V125" s="140">
        <f t="shared" ref="V125" si="314">+V124/V116</f>
        <v>0.41614895846190247</v>
      </c>
      <c r="W125" s="124"/>
      <c r="X125" s="140">
        <f t="shared" ref="X125" si="315">+X124/X116</f>
        <v>0.47739404662153306</v>
      </c>
      <c r="Y125" s="140">
        <f t="shared" ref="Y125" si="316">+Y124/Y116</f>
        <v>0.33513181770453171</v>
      </c>
      <c r="Z125" s="140">
        <f t="shared" ref="Z125" si="317">+Z124/Z116</f>
        <v>0.47337031919478917</v>
      </c>
      <c r="AA125" s="140">
        <f t="shared" ref="AA125" si="318">+AA124/AA116</f>
        <v>0.52976617933579084</v>
      </c>
      <c r="AB125" s="124"/>
    </row>
    <row r="126" spans="1:28" s="127" customFormat="1" outlineLevel="1" x14ac:dyDescent="0.25">
      <c r="B126" s="135" t="s">
        <v>94</v>
      </c>
      <c r="C126" s="136"/>
      <c r="D126" s="137"/>
      <c r="E126" s="137"/>
      <c r="F126" s="137"/>
      <c r="G126" s="137"/>
      <c r="H126" s="138"/>
      <c r="I126" s="130">
        <f>ROUND((+I124-I123-(I118*I119)),0)</f>
        <v>0</v>
      </c>
      <c r="J126" s="130">
        <f>ROUND((+J124-J123-(J118*J119)),0)</f>
        <v>0</v>
      </c>
      <c r="K126" s="130">
        <f>ROUND((+K124-K123-(K118*K119)),0)</f>
        <v>0</v>
      </c>
      <c r="L126" s="130">
        <f>ROUND((+L124-L123-(L118*L119)),0)</f>
        <v>0</v>
      </c>
      <c r="M126" s="133"/>
      <c r="N126" s="130">
        <f>ROUND((+N124-N123-(N118*N119)),0)</f>
        <v>0</v>
      </c>
      <c r="O126" s="130">
        <f>ROUND((+O124-O123-(O118*O119)),0)</f>
        <v>0</v>
      </c>
      <c r="P126" s="130">
        <f>ROUND((+P124-P123-(P118*P119)),0)</f>
        <v>0</v>
      </c>
      <c r="Q126" s="130">
        <f>ROUND((+Q124-Q123-(Q118*Q119)),0)</f>
        <v>0</v>
      </c>
      <c r="R126" s="133"/>
      <c r="S126" s="130">
        <f>ROUND((+S124-S123-(S118*S119)),0)</f>
        <v>0</v>
      </c>
      <c r="T126" s="236">
        <f>ROUND((+T124-T123-(T118*T119)),0)</f>
        <v>0</v>
      </c>
      <c r="U126" s="137">
        <f>ROUND((+U124-U123-(U118*U119)),0)</f>
        <v>0</v>
      </c>
      <c r="V126" s="137">
        <f>ROUND((+V124-V123-(V118*V119)),0)</f>
        <v>0</v>
      </c>
      <c r="W126" s="139"/>
      <c r="X126" s="137">
        <f>ROUND((+X124-X123-(X118*X119)),0)</f>
        <v>0</v>
      </c>
      <c r="Y126" s="137">
        <f>ROUND((+Y124-Y123-(Y118*Y119)),0)</f>
        <v>0</v>
      </c>
      <c r="Z126" s="137">
        <f>ROUND((+Z124-Z123-(Z118*Z119)),0)</f>
        <v>0</v>
      </c>
      <c r="AA126" s="137">
        <f>ROUND((+AA124-AA123-(AA118*AA119)),0)</f>
        <v>0</v>
      </c>
      <c r="AB126" s="139"/>
    </row>
    <row r="127" spans="1:28" s="22" customFormat="1" outlineLevel="1" x14ac:dyDescent="0.25">
      <c r="B127" s="259" t="s">
        <v>123</v>
      </c>
      <c r="C127" s="260"/>
      <c r="D127" s="142">
        <v>1743</v>
      </c>
      <c r="E127" s="142">
        <v>1800</v>
      </c>
      <c r="F127" s="142">
        <v>2024</v>
      </c>
      <c r="G127" s="142">
        <v>2119</v>
      </c>
      <c r="H127" s="143"/>
      <c r="I127" s="142">
        <v>2232</v>
      </c>
      <c r="J127" s="142">
        <v>2278</v>
      </c>
      <c r="K127" s="142">
        <v>2364</v>
      </c>
      <c r="L127" s="142">
        <v>2472</v>
      </c>
      <c r="M127" s="144"/>
      <c r="N127" s="142">
        <v>2594</v>
      </c>
      <c r="O127" s="142">
        <v>2665</v>
      </c>
      <c r="P127" s="142">
        <v>2741</v>
      </c>
      <c r="Q127" s="142">
        <v>2830</v>
      </c>
      <c r="R127" s="144"/>
      <c r="S127" s="142">
        <v>2934</v>
      </c>
      <c r="T127" s="142">
        <v>3076</v>
      </c>
      <c r="U127" s="142">
        <f t="shared" ref="U127" si="319">+T127+U128</f>
        <v>3221</v>
      </c>
      <c r="V127" s="142">
        <f t="shared" ref="V127" si="320">+U127+V128</f>
        <v>3378</v>
      </c>
      <c r="W127" s="144"/>
      <c r="X127" s="142">
        <f>+V127+X128</f>
        <v>3403</v>
      </c>
      <c r="Y127" s="142">
        <f>+X127+Y128</f>
        <v>3428</v>
      </c>
      <c r="Z127" s="142">
        <f t="shared" ref="Z127" si="321">+Y127+Z128</f>
        <v>3453</v>
      </c>
      <c r="AA127" s="142">
        <f t="shared" ref="AA127" si="322">+Z127+AA128</f>
        <v>3478</v>
      </c>
      <c r="AB127" s="144"/>
    </row>
    <row r="128" spans="1:28" outlineLevel="1" x14ac:dyDescent="0.25">
      <c r="B128" s="43" t="s">
        <v>95</v>
      </c>
      <c r="C128" s="65"/>
      <c r="D128" s="30"/>
      <c r="E128" s="30">
        <f>+E127-D127</f>
        <v>57</v>
      </c>
      <c r="F128" s="30">
        <f>+F127-E127</f>
        <v>224</v>
      </c>
      <c r="G128" s="30">
        <f>+G127-F127</f>
        <v>95</v>
      </c>
      <c r="H128" s="45"/>
      <c r="I128" s="30">
        <f>+I127-G127</f>
        <v>113</v>
      </c>
      <c r="J128" s="30">
        <f>+J127-I127</f>
        <v>46</v>
      </c>
      <c r="K128" s="30">
        <f>+K127-J127</f>
        <v>86</v>
      </c>
      <c r="L128" s="30">
        <f>+L127-K127</f>
        <v>108</v>
      </c>
      <c r="M128" s="44">
        <f>+SUM(I128:L128)</f>
        <v>353</v>
      </c>
      <c r="N128" s="30">
        <f>+N127-L127</f>
        <v>122</v>
      </c>
      <c r="O128" s="30">
        <f>+O127-N127</f>
        <v>71</v>
      </c>
      <c r="P128" s="30">
        <f>+P127-O127</f>
        <v>76</v>
      </c>
      <c r="Q128" s="30">
        <f>+Q127-P127</f>
        <v>89</v>
      </c>
      <c r="R128" s="44">
        <f>+SUM(N128:Q128)</f>
        <v>358</v>
      </c>
      <c r="S128" s="30">
        <f>+S127-Q127</f>
        <v>104</v>
      </c>
      <c r="T128" s="216">
        <v>142</v>
      </c>
      <c r="U128" s="53">
        <v>145</v>
      </c>
      <c r="V128" s="53">
        <v>157</v>
      </c>
      <c r="W128" s="44">
        <f>+SUM(S128:V128)</f>
        <v>548</v>
      </c>
      <c r="X128" s="53">
        <v>25</v>
      </c>
      <c r="Y128" s="53">
        <v>25</v>
      </c>
      <c r="Z128" s="53">
        <v>25</v>
      </c>
      <c r="AA128" s="53">
        <v>25</v>
      </c>
      <c r="AB128" s="44">
        <f>+SUM(X128:AA128)</f>
        <v>100</v>
      </c>
    </row>
    <row r="129" spans="2:28" outlineLevel="1" x14ac:dyDescent="0.25">
      <c r="B129" s="43" t="s">
        <v>98</v>
      </c>
      <c r="C129" s="65"/>
      <c r="D129" s="30"/>
      <c r="E129" s="30">
        <f>AVERAGE(E127,D127)</f>
        <v>1771.5</v>
      </c>
      <c r="F129" s="30">
        <f t="shared" ref="F129:G129" si="323">AVERAGE(F127,E127)</f>
        <v>1912</v>
      </c>
      <c r="G129" s="30">
        <f t="shared" si="323"/>
        <v>2071.5</v>
      </c>
      <c r="H129" s="45"/>
      <c r="I129" s="30">
        <f>AVERAGE(I127,G127)</f>
        <v>2175.5</v>
      </c>
      <c r="J129" s="30">
        <f>AVERAGE(J127,I127)</f>
        <v>2255</v>
      </c>
      <c r="K129" s="30">
        <f t="shared" ref="K129:L129" si="324">AVERAGE(K127,J127)</f>
        <v>2321</v>
      </c>
      <c r="L129" s="30">
        <f t="shared" si="324"/>
        <v>2418</v>
      </c>
      <c r="M129" s="44"/>
      <c r="N129" s="30">
        <f>AVERAGE(N127,L127)</f>
        <v>2533</v>
      </c>
      <c r="O129" s="30">
        <f>AVERAGE(O127,N127)</f>
        <v>2629.5</v>
      </c>
      <c r="P129" s="30">
        <f t="shared" ref="P129:Q129" si="325">AVERAGE(P127,O127)</f>
        <v>2703</v>
      </c>
      <c r="Q129" s="30">
        <f t="shared" si="325"/>
        <v>2785.5</v>
      </c>
      <c r="R129" s="44"/>
      <c r="S129" s="30">
        <f>AVERAGE(S127,Q127)</f>
        <v>2882</v>
      </c>
      <c r="T129" s="30">
        <f>AVERAGE(T127,S127)</f>
        <v>3005</v>
      </c>
      <c r="U129" s="30">
        <f t="shared" ref="U129:V129" si="326">AVERAGE(U127,T127)</f>
        <v>3148.5</v>
      </c>
      <c r="V129" s="30">
        <f t="shared" si="326"/>
        <v>3299.5</v>
      </c>
      <c r="W129" s="44"/>
      <c r="X129" s="30">
        <f>AVERAGE(X127,V127)</f>
        <v>3390.5</v>
      </c>
      <c r="Y129" s="30">
        <f>AVERAGE(Y127,X127)</f>
        <v>3415.5</v>
      </c>
      <c r="Z129" s="30">
        <f t="shared" ref="Z129:AA129" si="327">AVERAGE(Z127,Y127)</f>
        <v>3440.5</v>
      </c>
      <c r="AA129" s="30">
        <f t="shared" si="327"/>
        <v>3465.5</v>
      </c>
      <c r="AB129" s="20"/>
    </row>
    <row r="130" spans="2:28" outlineLevel="1" x14ac:dyDescent="0.25">
      <c r="B130" s="43" t="s">
        <v>97</v>
      </c>
      <c r="C130" s="65"/>
      <c r="D130" s="30"/>
      <c r="E130" s="30"/>
      <c r="F130" s="30"/>
      <c r="G130" s="30"/>
      <c r="H130" s="45"/>
      <c r="I130" s="81">
        <f>+I131/I129</f>
        <v>4.6977706274419676E-2</v>
      </c>
      <c r="J130" s="81">
        <f t="shared" ref="J130" si="328">+J131/J129</f>
        <v>4.0310421286031045E-2</v>
      </c>
      <c r="K130" s="81">
        <f t="shared" ref="K130" si="329">+K131/K129</f>
        <v>4.3472641102972859E-2</v>
      </c>
      <c r="L130" s="81">
        <f>+L131/L129</f>
        <v>4.7022332506203475E-2</v>
      </c>
      <c r="M130" s="44"/>
      <c r="N130" s="81">
        <f>+N131/N129</f>
        <v>4.58744571654165E-2</v>
      </c>
      <c r="O130" s="81">
        <f t="shared" ref="O130" si="330">+O131/O129</f>
        <v>4.2593648982696332E-2</v>
      </c>
      <c r="P130" s="81">
        <f t="shared" ref="P130" si="331">+P131/P129</f>
        <v>4.3840177580466148E-2</v>
      </c>
      <c r="Q130" s="81">
        <f>+Q131/Q129</f>
        <v>4.4731646024053127E-2</v>
      </c>
      <c r="R130" s="44"/>
      <c r="S130" s="81">
        <f>+S131/S129</f>
        <v>4.2470506592644001E-2</v>
      </c>
      <c r="T130" s="81">
        <f>+T131/T129</f>
        <v>3.8602329450915143E-2</v>
      </c>
      <c r="U130" s="126">
        <f>+P130*(1+2%)</f>
        <v>4.4716981132075471E-2</v>
      </c>
      <c r="V130" s="126">
        <f>+Q130*(1+2%)</f>
        <v>4.5626278944534193E-2</v>
      </c>
      <c r="W130" s="44"/>
      <c r="X130" s="126">
        <f>+S130*(1+3%)</f>
        <v>4.3744621790423321E-2</v>
      </c>
      <c r="Y130" s="126">
        <f>+T130*(1+3%)</f>
        <v>3.97603993344426E-2</v>
      </c>
      <c r="Z130" s="126">
        <f>+U130*(1+3%)</f>
        <v>4.6058490566037738E-2</v>
      </c>
      <c r="AA130" s="126">
        <f>+V130*(1+3%)</f>
        <v>4.6995067312870217E-2</v>
      </c>
      <c r="AB130" s="20"/>
    </row>
    <row r="131" spans="2:28" s="22" customFormat="1" outlineLevel="1" x14ac:dyDescent="0.25">
      <c r="B131" s="261" t="s">
        <v>124</v>
      </c>
      <c r="C131" s="262"/>
      <c r="D131" s="151"/>
      <c r="E131" s="151"/>
      <c r="F131" s="151"/>
      <c r="G131" s="151"/>
      <c r="H131" s="152"/>
      <c r="I131" s="151">
        <v>102.2</v>
      </c>
      <c r="J131" s="151">
        <v>90.9</v>
      </c>
      <c r="K131" s="151">
        <v>100.9</v>
      </c>
      <c r="L131" s="151">
        <v>113.7</v>
      </c>
      <c r="M131" s="153"/>
      <c r="N131" s="151">
        <v>116.2</v>
      </c>
      <c r="O131" s="151">
        <v>112</v>
      </c>
      <c r="P131" s="151">
        <v>118.5</v>
      </c>
      <c r="Q131" s="151">
        <v>124.6</v>
      </c>
      <c r="R131" s="153"/>
      <c r="S131" s="151">
        <v>122.4</v>
      </c>
      <c r="T131" s="151">
        <v>116</v>
      </c>
      <c r="U131" s="151">
        <f t="shared" ref="U131" si="332">+U129*U130</f>
        <v>140.79141509433961</v>
      </c>
      <c r="V131" s="151">
        <f t="shared" ref="V131" si="333">+V129*V130</f>
        <v>150.54390737749057</v>
      </c>
      <c r="W131" s="153"/>
      <c r="X131" s="151">
        <f>+X129*X130</f>
        <v>148.31614018043027</v>
      </c>
      <c r="Y131" s="151">
        <f>+Y129*Y130</f>
        <v>135.8016439267887</v>
      </c>
      <c r="Z131" s="151">
        <f t="shared" ref="Z131" si="334">+Z129*Z130</f>
        <v>158.46423679245285</v>
      </c>
      <c r="AA131" s="151">
        <f t="shared" ref="AA131" si="335">+AA129*AA130</f>
        <v>162.86140577275174</v>
      </c>
      <c r="AB131" s="153"/>
    </row>
    <row r="132" spans="2:28" s="22" customFormat="1" outlineLevel="1" x14ac:dyDescent="0.25">
      <c r="B132" s="265" t="s">
        <v>125</v>
      </c>
      <c r="C132" s="266"/>
      <c r="D132" s="37"/>
      <c r="E132" s="37"/>
      <c r="F132" s="37"/>
      <c r="G132" s="37"/>
      <c r="H132" s="114"/>
      <c r="I132" s="106">
        <v>0</v>
      </c>
      <c r="J132" s="106">
        <v>0</v>
      </c>
      <c r="K132" s="106">
        <v>0</v>
      </c>
      <c r="L132" s="106">
        <v>0</v>
      </c>
      <c r="M132" s="124"/>
      <c r="N132" s="106">
        <v>0.3</v>
      </c>
      <c r="O132" s="106">
        <v>0.3</v>
      </c>
      <c r="P132" s="106">
        <v>0.3</v>
      </c>
      <c r="Q132" s="106">
        <v>0.2</v>
      </c>
      <c r="R132" s="124"/>
      <c r="S132" s="106">
        <v>0.4</v>
      </c>
      <c r="T132" s="106">
        <v>0.4</v>
      </c>
      <c r="U132" s="106">
        <f>+P132*(1+U133)</f>
        <v>0.4</v>
      </c>
      <c r="V132" s="106">
        <f t="shared" ref="V132" si="336">+Q132*(1+V133)</f>
        <v>0.26666666666666672</v>
      </c>
      <c r="W132" s="115"/>
      <c r="X132" s="106">
        <f>+S132*(1+X133)</f>
        <v>0.53333333333333344</v>
      </c>
      <c r="Y132" s="106">
        <f>+T132*(1+Y133)</f>
        <v>0.53333333333333344</v>
      </c>
      <c r="Z132" s="106">
        <f>+U132*(1+Z133)</f>
        <v>0.53333333333333344</v>
      </c>
      <c r="AA132" s="106">
        <f t="shared" ref="AA132" si="337">+V132*(1+AA133)</f>
        <v>0.35555555555555568</v>
      </c>
      <c r="AB132" s="115"/>
    </row>
    <row r="133" spans="2:28" outlineLevel="1" x14ac:dyDescent="0.25">
      <c r="B133" s="145" t="s">
        <v>102</v>
      </c>
      <c r="C133" s="146"/>
      <c r="D133" s="116"/>
      <c r="E133" s="116"/>
      <c r="F133" s="116"/>
      <c r="G133" s="116"/>
      <c r="H133" s="117"/>
      <c r="I133" s="116"/>
      <c r="J133" s="116"/>
      <c r="K133" s="116"/>
      <c r="L133" s="116"/>
      <c r="M133" s="118"/>
      <c r="N133" s="147"/>
      <c r="O133" s="147"/>
      <c r="P133" s="147"/>
      <c r="Q133" s="147"/>
      <c r="R133" s="118"/>
      <c r="S133" s="147">
        <f>+S132/N132-1</f>
        <v>0.33333333333333348</v>
      </c>
      <c r="T133" s="147">
        <f>+T132/O132-1</f>
        <v>0.33333333333333348</v>
      </c>
      <c r="U133" s="148">
        <f>AVERAGE(T133,S133,Q133,P133)</f>
        <v>0.33333333333333348</v>
      </c>
      <c r="V133" s="148">
        <f>AVERAGE(U133,T133,S133,Q133)</f>
        <v>0.33333333333333348</v>
      </c>
      <c r="W133" s="118"/>
      <c r="X133" s="148">
        <f>AVERAGE(V133,U133,T133,S133)</f>
        <v>0.33333333333333348</v>
      </c>
      <c r="Y133" s="148">
        <f>AVERAGE(X133,V133,U133,T133)</f>
        <v>0.33333333333333348</v>
      </c>
      <c r="Z133" s="148">
        <f>AVERAGE(Y133,X133,V133,U133)</f>
        <v>0.33333333333333348</v>
      </c>
      <c r="AA133" s="148">
        <f>AVERAGE(Z133,Y133,X133,V133)</f>
        <v>0.33333333333333348</v>
      </c>
      <c r="AB133" s="118"/>
    </row>
    <row r="134" spans="2:28" outlineLevel="1" x14ac:dyDescent="0.25">
      <c r="B134" s="43" t="s">
        <v>126</v>
      </c>
      <c r="C134" s="100"/>
      <c r="D134" s="30"/>
      <c r="E134" s="30"/>
      <c r="F134" s="30"/>
      <c r="G134" s="30"/>
      <c r="H134" s="45"/>
      <c r="I134" s="30">
        <f t="shared" ref="I134:L135" si="338">+I127+I116</f>
        <v>2737</v>
      </c>
      <c r="J134" s="30">
        <f t="shared" si="338"/>
        <v>2783</v>
      </c>
      <c r="K134" s="30">
        <f t="shared" si="338"/>
        <v>2870</v>
      </c>
      <c r="L134" s="30">
        <f t="shared" si="338"/>
        <v>2974</v>
      </c>
      <c r="M134" s="44"/>
      <c r="N134" s="30">
        <f t="shared" ref="N134:Q135" si="339">+N127+N116</f>
        <v>3097</v>
      </c>
      <c r="O134" s="30">
        <f t="shared" si="339"/>
        <v>3161</v>
      </c>
      <c r="P134" s="30">
        <f t="shared" si="339"/>
        <v>3237</v>
      </c>
      <c r="Q134" s="30">
        <f t="shared" si="339"/>
        <v>3320</v>
      </c>
      <c r="R134" s="44"/>
      <c r="S134" s="30">
        <f t="shared" ref="S134:V135" si="340">+S127+S116</f>
        <v>3421</v>
      </c>
      <c r="T134" s="30">
        <f t="shared" si="340"/>
        <v>3468</v>
      </c>
      <c r="U134" s="30">
        <f t="shared" si="340"/>
        <v>3588</v>
      </c>
      <c r="V134" s="30">
        <f t="shared" si="340"/>
        <v>3720</v>
      </c>
      <c r="W134" s="44"/>
      <c r="X134" s="30">
        <f t="shared" ref="X134:AA135" si="341">+X127+X116</f>
        <v>3708</v>
      </c>
      <c r="Y134" s="30">
        <f t="shared" si="341"/>
        <v>3687.5</v>
      </c>
      <c r="Z134" s="30">
        <f t="shared" si="341"/>
        <v>3679.375</v>
      </c>
      <c r="AA134" s="30">
        <f t="shared" si="341"/>
        <v>3669.21875</v>
      </c>
      <c r="AB134" s="20"/>
    </row>
    <row r="135" spans="2:28" outlineLevel="1" x14ac:dyDescent="0.25">
      <c r="B135" s="43" t="s">
        <v>127</v>
      </c>
      <c r="C135" s="100"/>
      <c r="D135" s="30"/>
      <c r="E135" s="30"/>
      <c r="F135" s="30"/>
      <c r="G135" s="30"/>
      <c r="H135" s="45"/>
      <c r="I135" s="30">
        <f t="shared" si="338"/>
        <v>95</v>
      </c>
      <c r="J135" s="30">
        <f t="shared" si="338"/>
        <v>46</v>
      </c>
      <c r="K135" s="30">
        <f t="shared" si="338"/>
        <v>87</v>
      </c>
      <c r="L135" s="30">
        <f t="shared" si="338"/>
        <v>104</v>
      </c>
      <c r="M135" s="44">
        <f>+M128+M117</f>
        <v>332</v>
      </c>
      <c r="N135" s="30">
        <f t="shared" si="339"/>
        <v>123</v>
      </c>
      <c r="O135" s="30">
        <f t="shared" si="339"/>
        <v>64</v>
      </c>
      <c r="P135" s="30">
        <f t="shared" si="339"/>
        <v>76</v>
      </c>
      <c r="Q135" s="30">
        <f t="shared" si="339"/>
        <v>83</v>
      </c>
      <c r="R135" s="44">
        <f>+R128+R117</f>
        <v>346</v>
      </c>
      <c r="S135" s="30">
        <f t="shared" si="340"/>
        <v>101</v>
      </c>
      <c r="T135" s="30">
        <f t="shared" si="340"/>
        <v>47</v>
      </c>
      <c r="U135" s="30">
        <f t="shared" si="340"/>
        <v>120</v>
      </c>
      <c r="V135" s="30">
        <f t="shared" si="340"/>
        <v>132</v>
      </c>
      <c r="W135" s="200">
        <f>+W128+W117</f>
        <v>400</v>
      </c>
      <c r="X135" s="30">
        <f t="shared" si="341"/>
        <v>-12</v>
      </c>
      <c r="Y135" s="30">
        <f t="shared" si="341"/>
        <v>-20.5</v>
      </c>
      <c r="Z135" s="30">
        <f t="shared" si="341"/>
        <v>-8.125</v>
      </c>
      <c r="AA135" s="30">
        <f t="shared" si="341"/>
        <v>-10.15625</v>
      </c>
      <c r="AB135" s="44">
        <f>+AB128+AB117</f>
        <v>-50.78125</v>
      </c>
    </row>
    <row r="136" spans="2:28" outlineLevel="1" x14ac:dyDescent="0.25">
      <c r="B136" s="253" t="s">
        <v>128</v>
      </c>
      <c r="C136" s="254"/>
      <c r="D136" s="149"/>
      <c r="E136" s="149"/>
      <c r="F136" s="149"/>
      <c r="G136" s="149"/>
      <c r="H136" s="150"/>
      <c r="I136" s="151">
        <f>+I132+I131+I124</f>
        <v>248.10000000000002</v>
      </c>
      <c r="J136" s="151">
        <f>+J132+J131+J124</f>
        <v>218.4</v>
      </c>
      <c r="K136" s="151">
        <f>+K132+K131+K124</f>
        <v>237.1</v>
      </c>
      <c r="L136" s="151">
        <f>+L132+L131+L124</f>
        <v>255.10000000000002</v>
      </c>
      <c r="M136" s="154">
        <f>SUM(I136:L136)</f>
        <v>958.7</v>
      </c>
      <c r="N136" s="151">
        <f>+N132+N131+N124</f>
        <v>268.10000000000002</v>
      </c>
      <c r="O136" s="151">
        <f>+O132+O131+O124</f>
        <v>251</v>
      </c>
      <c r="P136" s="151">
        <f>+P132+P131+P124</f>
        <v>261.7</v>
      </c>
      <c r="Q136" s="151">
        <f>+Q132+Q131+Q124</f>
        <v>267.3</v>
      </c>
      <c r="R136" s="154">
        <f>SUM(N136:Q136)</f>
        <v>1048.0999999999999</v>
      </c>
      <c r="S136" s="151">
        <f>+S132+S131+S124</f>
        <v>266.3</v>
      </c>
      <c r="T136" s="151">
        <f>+T132+T131+T124</f>
        <v>227.5</v>
      </c>
      <c r="U136" s="151">
        <f>+U132+U131+U124</f>
        <v>283.3384321522484</v>
      </c>
      <c r="V136" s="151">
        <f>+V132+V131+V124</f>
        <v>293.13351783812789</v>
      </c>
      <c r="W136" s="154">
        <f>SUM(S136:V136)</f>
        <v>1070.2719499903765</v>
      </c>
      <c r="X136" s="151">
        <f>+X132+X131+X124</f>
        <v>294.45465773333115</v>
      </c>
      <c r="Y136" s="151">
        <f>+Y132+Y131+Y124</f>
        <v>223.30168395444801</v>
      </c>
      <c r="Z136" s="151">
        <f>+Z132+Z131+Z124</f>
        <v>266.15677613350658</v>
      </c>
      <c r="AA136" s="151">
        <f>+AA132+AA131+AA124</f>
        <v>264.51818793317307</v>
      </c>
      <c r="AB136" s="154">
        <f>SUM(X136:AA136)</f>
        <v>1048.4313057544587</v>
      </c>
    </row>
    <row r="137" spans="2:28" outlineLevel="1" x14ac:dyDescent="0.25">
      <c r="B137" s="255" t="s">
        <v>73</v>
      </c>
      <c r="C137" s="256"/>
      <c r="D137" s="30"/>
      <c r="E137" s="30"/>
      <c r="F137" s="30"/>
      <c r="G137" s="30"/>
      <c r="H137" s="45"/>
      <c r="I137" s="104">
        <v>129.6</v>
      </c>
      <c r="J137" s="104">
        <v>116.7</v>
      </c>
      <c r="K137" s="104">
        <v>128.30000000000001</v>
      </c>
      <c r="L137" s="104">
        <v>134</v>
      </c>
      <c r="M137" s="25"/>
      <c r="N137" s="104">
        <v>145.1</v>
      </c>
      <c r="O137" s="104">
        <v>138.4</v>
      </c>
      <c r="P137" s="104">
        <v>137.19999999999999</v>
      </c>
      <c r="Q137" s="104">
        <v>138.5</v>
      </c>
      <c r="R137" s="25"/>
      <c r="S137" s="104">
        <v>137.1</v>
      </c>
      <c r="T137" s="104">
        <v>120.4</v>
      </c>
      <c r="U137" s="104">
        <f>+(U136*U147)*(T137/T146)</f>
        <v>142.31960080310577</v>
      </c>
      <c r="V137" s="104">
        <f>+(V136*V147)*(U137/U146)</f>
        <v>143.44804922704219</v>
      </c>
      <c r="W137" s="25"/>
      <c r="X137" s="104">
        <f>+(X136*X147)*(V137/V146)</f>
        <v>137.89671954475008</v>
      </c>
      <c r="Y137" s="104">
        <f>+(Y136*Y147)*(X137/X146)</f>
        <v>118.17812196973864</v>
      </c>
      <c r="Z137" s="104">
        <f>+(Z136*Z147)*(Y137/Y146)</f>
        <v>133.68933343291832</v>
      </c>
      <c r="AA137" s="104">
        <f>+(AA136*AA147)*(Z137/Z146)</f>
        <v>129.4448288408947</v>
      </c>
      <c r="AB137" s="25"/>
    </row>
    <row r="138" spans="2:28" outlineLevel="1" x14ac:dyDescent="0.25">
      <c r="B138" s="43" t="s">
        <v>74</v>
      </c>
      <c r="C138" s="32"/>
      <c r="D138" s="30"/>
      <c r="E138" s="30"/>
      <c r="F138" s="30"/>
      <c r="G138" s="30"/>
      <c r="H138" s="45"/>
      <c r="I138" s="104">
        <v>46.9</v>
      </c>
      <c r="J138" s="104">
        <v>50.3</v>
      </c>
      <c r="K138" s="104">
        <v>53.8</v>
      </c>
      <c r="L138" s="104">
        <v>63.1</v>
      </c>
      <c r="M138" s="25"/>
      <c r="N138" s="104">
        <v>54.7</v>
      </c>
      <c r="O138" s="104">
        <v>57.7</v>
      </c>
      <c r="P138" s="104">
        <v>58</v>
      </c>
      <c r="Q138" s="104">
        <v>55.7</v>
      </c>
      <c r="R138" s="25"/>
      <c r="S138" s="104">
        <v>56.3</v>
      </c>
      <c r="T138" s="104">
        <v>47</v>
      </c>
      <c r="U138" s="104">
        <f>+(U136*U147)*(T138/T146)</f>
        <v>55.556654798554561</v>
      </c>
      <c r="V138" s="104">
        <f>+(V136*V147)*(U138/U146)</f>
        <v>55.997162073679256</v>
      </c>
      <c r="W138" s="25"/>
      <c r="X138" s="104">
        <f>+(X136*X147)*(V138/V146)</f>
        <v>53.830114772452262</v>
      </c>
      <c r="Y138" s="104">
        <f>+(Y136*Y147)*(X138/X146)</f>
        <v>46.13265558619365</v>
      </c>
      <c r="Z138" s="104">
        <f>+(Z136*Z147)*(Y138/Y146)</f>
        <v>52.18769660587342</v>
      </c>
      <c r="AA138" s="104">
        <f>+(AA136*AA147)*(Z138/Z146)</f>
        <v>50.530788667126657</v>
      </c>
      <c r="AB138" s="25"/>
    </row>
    <row r="139" spans="2:28" outlineLevel="1" x14ac:dyDescent="0.25">
      <c r="B139" s="43" t="s">
        <v>75</v>
      </c>
      <c r="C139" s="32"/>
      <c r="D139" s="30"/>
      <c r="E139" s="30"/>
      <c r="F139" s="30"/>
      <c r="G139" s="30"/>
      <c r="H139" s="45"/>
      <c r="I139" s="104">
        <v>14.2</v>
      </c>
      <c r="J139" s="104">
        <v>12.3</v>
      </c>
      <c r="K139" s="104">
        <v>12.9</v>
      </c>
      <c r="L139" s="104">
        <v>11.8</v>
      </c>
      <c r="M139" s="25"/>
      <c r="N139" s="104">
        <v>14.4</v>
      </c>
      <c r="O139" s="104">
        <v>18.3</v>
      </c>
      <c r="P139" s="104">
        <v>14.3</v>
      </c>
      <c r="Q139" s="104">
        <v>15.8</v>
      </c>
      <c r="R139" s="25"/>
      <c r="S139" s="104">
        <v>19.399999999999999</v>
      </c>
      <c r="T139" s="104">
        <v>16.8</v>
      </c>
      <c r="U139" s="104">
        <f>+(U136*U147)*(T139/T146)</f>
        <v>19.85854894927057</v>
      </c>
      <c r="V139" s="104">
        <f>+(V136*V147)*(U139/U146)</f>
        <v>20.016006868889608</v>
      </c>
      <c r="W139" s="25"/>
      <c r="X139" s="104">
        <f>+(X136*X147)*(V139/V146)</f>
        <v>19.241402727174428</v>
      </c>
      <c r="Y139" s="104">
        <f>+(Y136*Y147)*(X139/X146)</f>
        <v>16.489970507405392</v>
      </c>
      <c r="Z139" s="104">
        <f>+(Z136*Z147)*(Y139/Y146)</f>
        <v>18.654325595290924</v>
      </c>
      <c r="AA139" s="104">
        <f>+(AA136*AA147)*(Z139/Z146)</f>
        <v>18.062069140589951</v>
      </c>
      <c r="AB139" s="25"/>
    </row>
    <row r="140" spans="2:28" outlineLevel="1" x14ac:dyDescent="0.25">
      <c r="B140" s="43" t="s">
        <v>76</v>
      </c>
      <c r="C140" s="32"/>
      <c r="D140" s="30"/>
      <c r="E140" s="30"/>
      <c r="F140" s="30"/>
      <c r="G140" s="30"/>
      <c r="H140" s="45"/>
      <c r="I140" s="155">
        <v>7.5</v>
      </c>
      <c r="J140" s="155">
        <v>7.4</v>
      </c>
      <c r="K140" s="155">
        <v>7.5</v>
      </c>
      <c r="L140" s="155">
        <v>8.1999999999999993</v>
      </c>
      <c r="M140" s="25"/>
      <c r="N140" s="155">
        <v>7.5</v>
      </c>
      <c r="O140" s="155">
        <v>8</v>
      </c>
      <c r="P140" s="155">
        <v>8</v>
      </c>
      <c r="Q140" s="155">
        <v>8.1999999999999993</v>
      </c>
      <c r="R140" s="25"/>
      <c r="S140" s="155">
        <v>7.9</v>
      </c>
      <c r="T140" s="155">
        <v>6.9</v>
      </c>
      <c r="U140" s="240">
        <v>7.136397991095154</v>
      </c>
      <c r="V140" s="240">
        <v>7.4115609647087286</v>
      </c>
      <c r="W140" s="25"/>
      <c r="X140" s="240">
        <v>7.5899363749670323</v>
      </c>
      <c r="Y140" s="240">
        <v>7.8003860321423817</v>
      </c>
      <c r="Z140" s="240">
        <v>7.7661631649680132</v>
      </c>
      <c r="AA140" s="240">
        <v>7.778436474355285</v>
      </c>
      <c r="AB140" s="25"/>
    </row>
    <row r="141" spans="2:28" outlineLevel="1" x14ac:dyDescent="0.25">
      <c r="B141" s="43" t="s">
        <v>77</v>
      </c>
      <c r="C141" s="32"/>
      <c r="D141" s="30"/>
      <c r="E141" s="30"/>
      <c r="F141" s="30"/>
      <c r="G141" s="30"/>
      <c r="H141" s="20"/>
      <c r="I141" s="104">
        <v>11.7</v>
      </c>
      <c r="J141" s="104">
        <v>9.4</v>
      </c>
      <c r="K141" s="104">
        <v>11.6</v>
      </c>
      <c r="L141" s="104">
        <v>9</v>
      </c>
      <c r="M141" s="25"/>
      <c r="N141" s="104">
        <v>14</v>
      </c>
      <c r="O141" s="104">
        <v>11</v>
      </c>
      <c r="P141" s="104">
        <v>15</v>
      </c>
      <c r="Q141" s="104">
        <v>11.7</v>
      </c>
      <c r="R141" s="25"/>
      <c r="S141" s="104">
        <v>12.8</v>
      </c>
      <c r="T141" s="104">
        <v>15.1</v>
      </c>
      <c r="U141" s="104">
        <f t="shared" ref="U141:V141" si="342">+(U136*U147)*(T141/T146)</f>
        <v>17.849052924641999</v>
      </c>
      <c r="V141" s="104">
        <f t="shared" si="342"/>
        <v>17.990577602394826</v>
      </c>
      <c r="W141" s="25"/>
      <c r="X141" s="104">
        <f>+(X136*X147)*(V141/V146)</f>
        <v>17.294356022638919</v>
      </c>
      <c r="Y141" s="104">
        <f>+(Y136*Y147)*(X141/X146)</f>
        <v>14.821342539394129</v>
      </c>
      <c r="Z141" s="104">
        <f t="shared" ref="Z141:AA141" si="343">+(Z136*Z147)*(Y141/Y146)</f>
        <v>16.766685505291246</v>
      </c>
      <c r="AA141" s="104">
        <f t="shared" si="343"/>
        <v>16.234359763268348</v>
      </c>
      <c r="AB141" s="25"/>
    </row>
    <row r="142" spans="2:28" ht="17.25" outlineLevel="1" x14ac:dyDescent="0.4">
      <c r="B142" s="43" t="s">
        <v>85</v>
      </c>
      <c r="C142" s="32"/>
      <c r="D142" s="30"/>
      <c r="E142" s="30"/>
      <c r="F142" s="30"/>
      <c r="G142" s="30"/>
      <c r="H142" s="20"/>
      <c r="I142" s="156">
        <v>0</v>
      </c>
      <c r="J142" s="156">
        <v>0</v>
      </c>
      <c r="K142" s="156">
        <v>17.899999999999999</v>
      </c>
      <c r="L142" s="156">
        <v>0</v>
      </c>
      <c r="M142" s="25"/>
      <c r="N142" s="156">
        <v>0</v>
      </c>
      <c r="O142" s="156">
        <v>28.5</v>
      </c>
      <c r="P142" s="156">
        <v>0</v>
      </c>
      <c r="Q142" s="156">
        <v>26.6</v>
      </c>
      <c r="R142" s="25"/>
      <c r="S142" s="156">
        <v>5.8</v>
      </c>
      <c r="T142" s="156">
        <v>24.1</v>
      </c>
      <c r="U142" s="156">
        <f t="shared" ref="U142" si="344">+(U136*U147)*(T142/T146)</f>
        <v>28.487561290322663</v>
      </c>
      <c r="V142" s="156">
        <f>+(V136*V147)*(U142/U146)</f>
        <v>28.71343842501426</v>
      </c>
      <c r="W142" s="25"/>
      <c r="X142" s="156">
        <f>+(X136*X147)*(V142/V146)</f>
        <v>27.602250340768077</v>
      </c>
      <c r="Y142" s="156">
        <f>+(Y136*Y147)*(X142/X146)</f>
        <v>23.655255311218447</v>
      </c>
      <c r="Z142" s="156">
        <f t="shared" ref="Z142" si="345">+(Z136*Z147)*(Y142/Y146)</f>
        <v>26.760074217054242</v>
      </c>
      <c r="AA142" s="156">
        <f>+(AA136*AA147)*(Z142/Z146)</f>
        <v>25.910468231441541</v>
      </c>
      <c r="AB142" s="25"/>
    </row>
    <row r="143" spans="2:28" outlineLevel="1" x14ac:dyDescent="0.25">
      <c r="B143" s="102" t="s">
        <v>129</v>
      </c>
      <c r="C143" s="35"/>
      <c r="D143" s="30"/>
      <c r="E143" s="30"/>
      <c r="F143" s="30"/>
      <c r="G143" s="30"/>
      <c r="H143" s="23"/>
      <c r="I143" s="106">
        <f t="shared" ref="I143" si="346">SUM(I137:I142)</f>
        <v>209.89999999999998</v>
      </c>
      <c r="J143" s="106">
        <f t="shared" ref="J143" si="347">SUM(J137:J142)</f>
        <v>196.10000000000002</v>
      </c>
      <c r="K143" s="106">
        <f t="shared" ref="K143" si="348">SUM(K137:K142)</f>
        <v>232.00000000000003</v>
      </c>
      <c r="L143" s="106">
        <f t="shared" ref="L143" si="349">SUM(L137:L142)</f>
        <v>226.1</v>
      </c>
      <c r="M143" s="159"/>
      <c r="N143" s="106">
        <f>SUM(N137:N142)</f>
        <v>235.70000000000002</v>
      </c>
      <c r="O143" s="106">
        <f t="shared" ref="O143" si="350">SUM(O137:O142)</f>
        <v>261.90000000000003</v>
      </c>
      <c r="P143" s="106">
        <f t="shared" ref="P143" si="351">SUM(P137:P142)</f>
        <v>232.5</v>
      </c>
      <c r="Q143" s="106">
        <f t="shared" ref="Q143" si="352">SUM(Q137:Q142)</f>
        <v>256.5</v>
      </c>
      <c r="R143" s="159"/>
      <c r="S143" s="106">
        <f>SUM(S137:S142)</f>
        <v>239.3</v>
      </c>
      <c r="T143" s="106">
        <f>SUM(T137:T142)</f>
        <v>230.3</v>
      </c>
      <c r="U143" s="106">
        <f t="shared" ref="U143" si="353">SUM(U137:U142)</f>
        <v>271.20781675699072</v>
      </c>
      <c r="V143" s="106">
        <f t="shared" ref="V143" si="354">SUM(V137:V142)</f>
        <v>273.57679516172891</v>
      </c>
      <c r="W143" s="159"/>
      <c r="X143" s="106">
        <f t="shared" ref="X143" si="355">SUM(X137:X142)</f>
        <v>263.45477978275079</v>
      </c>
      <c r="Y143" s="106">
        <f t="shared" ref="Y143" si="356">SUM(Y137:Y142)</f>
        <v>227.07773194609263</v>
      </c>
      <c r="Z143" s="106">
        <f t="shared" ref="Z143" si="357">SUM(Z137:Z142)</f>
        <v>255.82427852139614</v>
      </c>
      <c r="AA143" s="106">
        <f t="shared" ref="AA143" si="358">SUM(AA137:AA142)</f>
        <v>247.96095111767647</v>
      </c>
      <c r="AB143" s="159"/>
    </row>
    <row r="144" spans="2:28" outlineLevel="1" x14ac:dyDescent="0.25">
      <c r="B144" s="102" t="s">
        <v>130</v>
      </c>
      <c r="C144" s="93"/>
      <c r="D144" s="30"/>
      <c r="E144" s="30"/>
      <c r="F144" s="30"/>
      <c r="G144" s="30"/>
      <c r="H144" s="23"/>
      <c r="I144" s="157">
        <f t="shared" ref="I144" si="359">+I136-I143</f>
        <v>38.200000000000045</v>
      </c>
      <c r="J144" s="157">
        <f t="shared" ref="J144" si="360">+J136-J143</f>
        <v>22.299999999999983</v>
      </c>
      <c r="K144" s="157">
        <f t="shared" ref="K144" si="361">+K136-K143</f>
        <v>5.0999999999999659</v>
      </c>
      <c r="L144" s="157">
        <f t="shared" ref="L144" si="362">+L136-L143</f>
        <v>29.000000000000028</v>
      </c>
      <c r="M144" s="206">
        <f>SUM(I144:L144)</f>
        <v>94.600000000000023</v>
      </c>
      <c r="N144" s="157">
        <f>+N136-N143</f>
        <v>32.400000000000006</v>
      </c>
      <c r="O144" s="157">
        <f t="shared" ref="O144" si="363">+O136-O143</f>
        <v>-10.900000000000034</v>
      </c>
      <c r="P144" s="157">
        <f t="shared" ref="P144" si="364">+P136-P143</f>
        <v>29.199999999999989</v>
      </c>
      <c r="Q144" s="157">
        <f t="shared" ref="Q144" si="365">+Q136-Q143</f>
        <v>10.800000000000011</v>
      </c>
      <c r="R144" s="206">
        <f>SUM(N144:Q144)</f>
        <v>61.499999999999972</v>
      </c>
      <c r="S144" s="157">
        <f>+S136-S143</f>
        <v>27</v>
      </c>
      <c r="T144" s="157">
        <f>+T136-T143</f>
        <v>-2.8000000000000114</v>
      </c>
      <c r="U144" s="157">
        <f t="shared" ref="U144" si="366">+U136-U143</f>
        <v>12.130615395257678</v>
      </c>
      <c r="V144" s="157">
        <f t="shared" ref="V144" si="367">+V136-V143</f>
        <v>19.556722676398977</v>
      </c>
      <c r="W144" s="206">
        <f>SUM(S144:V144)</f>
        <v>55.887338071656643</v>
      </c>
      <c r="X144" s="157">
        <f t="shared" ref="X144" si="368">+X136-X143</f>
        <v>30.999877950580355</v>
      </c>
      <c r="Y144" s="157">
        <f t="shared" ref="Y144" si="369">+Y136-Y143</f>
        <v>-3.7760479916446172</v>
      </c>
      <c r="Z144" s="157">
        <f t="shared" ref="Z144" si="370">+Z136-Z143</f>
        <v>10.332497612110444</v>
      </c>
      <c r="AA144" s="157">
        <f t="shared" ref="AA144" si="371">+AA136-AA143</f>
        <v>16.557236815496594</v>
      </c>
      <c r="AB144" s="206">
        <f>SUM(X144:AA144)</f>
        <v>54.113564386542777</v>
      </c>
    </row>
    <row r="145" spans="2:28" outlineLevel="1" x14ac:dyDescent="0.25">
      <c r="B145" s="102" t="s">
        <v>131</v>
      </c>
      <c r="C145" s="93"/>
      <c r="D145" s="30"/>
      <c r="E145" s="30"/>
      <c r="F145" s="30"/>
      <c r="G145" s="30"/>
      <c r="H145" s="20"/>
      <c r="I145" s="158">
        <f t="shared" ref="I145" si="372">+I144/I136</f>
        <v>0.15397017331721097</v>
      </c>
      <c r="J145" s="158">
        <f t="shared" ref="J145" si="373">+J144/J136</f>
        <v>0.10210622710622702</v>
      </c>
      <c r="K145" s="158">
        <f t="shared" ref="K145" si="374">+K144/K136</f>
        <v>2.1509911429776322E-2</v>
      </c>
      <c r="L145" s="158">
        <f t="shared" ref="L145" si="375">+L144/L136</f>
        <v>0.11368090944727569</v>
      </c>
      <c r="M145" s="205">
        <f>M144/M136</f>
        <v>9.8675289454469614E-2</v>
      </c>
      <c r="N145" s="158">
        <f>+N144/N136</f>
        <v>0.12085042894442373</v>
      </c>
      <c r="O145" s="158">
        <f t="shared" ref="O145" si="376">+O144/O136</f>
        <v>-4.3426294820717269E-2</v>
      </c>
      <c r="P145" s="158">
        <f t="shared" ref="P145" si="377">+P144/P136</f>
        <v>0.11157814291173095</v>
      </c>
      <c r="Q145" s="158">
        <f t="shared" ref="Q145" si="378">+Q144/Q136</f>
        <v>4.0404040404040442E-2</v>
      </c>
      <c r="R145" s="205">
        <f>R144/R136</f>
        <v>5.8677607098559278E-2</v>
      </c>
      <c r="S145" s="158">
        <f t="shared" ref="S145" si="379">+S144/S136</f>
        <v>0.10138941043935411</v>
      </c>
      <c r="T145" s="158">
        <f t="shared" ref="T145" si="380">+T144/T136</f>
        <v>-1.2307692307692358E-2</v>
      </c>
      <c r="U145" s="158">
        <f>+U144/U136</f>
        <v>4.2813166230620779E-2</v>
      </c>
      <c r="V145" s="158">
        <f t="shared" ref="V145" si="381">+V144/V136</f>
        <v>6.6716091768115215E-2</v>
      </c>
      <c r="W145" s="207">
        <f>W144/W136</f>
        <v>5.2217885437583565E-2</v>
      </c>
      <c r="X145" s="158">
        <f t="shared" ref="X145" si="382">+X144/X136</f>
        <v>0.10527895258717548</v>
      </c>
      <c r="Y145" s="158">
        <f t="shared" ref="Y145" si="383">+Y144/Y136</f>
        <v>-1.6910073962607935E-2</v>
      </c>
      <c r="Z145" s="158">
        <f t="shared" ref="Z145" si="384">+Z144/Z136</f>
        <v>3.8821095454385772E-2</v>
      </c>
      <c r="AA145" s="158">
        <f t="shared" ref="AA145" si="385">+AA144/AA136</f>
        <v>6.2593944654117911E-2</v>
      </c>
      <c r="AB145" s="205">
        <f>AB144/AB136</f>
        <v>5.1613838779453719E-2</v>
      </c>
    </row>
    <row r="146" spans="2:28" s="160" customFormat="1" outlineLevel="1" x14ac:dyDescent="0.25">
      <c r="B146" s="164" t="s">
        <v>110</v>
      </c>
      <c r="C146" s="161"/>
      <c r="D146" s="162"/>
      <c r="E146" s="162"/>
      <c r="F146" s="162"/>
      <c r="G146" s="162"/>
      <c r="H146" s="163"/>
      <c r="I146" s="130">
        <f>+I143-I140</f>
        <v>202.39999999999998</v>
      </c>
      <c r="J146" s="130">
        <f t="shared" ref="J146:L146" si="386">+J143-J140</f>
        <v>188.70000000000002</v>
      </c>
      <c r="K146" s="130">
        <f t="shared" si="386"/>
        <v>224.50000000000003</v>
      </c>
      <c r="L146" s="130">
        <f t="shared" si="386"/>
        <v>217.9</v>
      </c>
      <c r="M146" s="165"/>
      <c r="N146" s="130">
        <f t="shared" ref="N146:Q146" si="387">+N143-N140</f>
        <v>228.20000000000002</v>
      </c>
      <c r="O146" s="130">
        <f t="shared" si="387"/>
        <v>253.90000000000003</v>
      </c>
      <c r="P146" s="130">
        <f t="shared" si="387"/>
        <v>224.5</v>
      </c>
      <c r="Q146" s="130">
        <f t="shared" si="387"/>
        <v>248.3</v>
      </c>
      <c r="R146" s="165"/>
      <c r="S146" s="130">
        <f t="shared" ref="S146:V146" si="388">+S143-S140</f>
        <v>231.4</v>
      </c>
      <c r="T146" s="130">
        <f t="shared" si="388"/>
        <v>223.4</v>
      </c>
      <c r="U146" s="130">
        <f t="shared" si="388"/>
        <v>264.07141876589554</v>
      </c>
      <c r="V146" s="130">
        <f t="shared" si="388"/>
        <v>266.1652341970202</v>
      </c>
      <c r="W146" s="133"/>
      <c r="X146" s="130">
        <f t="shared" ref="X146:AA146" si="389">+X143-X140</f>
        <v>255.86484340778375</v>
      </c>
      <c r="Y146" s="130">
        <f t="shared" si="389"/>
        <v>219.27734591395026</v>
      </c>
      <c r="Z146" s="130">
        <f t="shared" si="389"/>
        <v>248.05811535642812</v>
      </c>
      <c r="AA146" s="130">
        <f t="shared" si="389"/>
        <v>240.18251464332118</v>
      </c>
      <c r="AB146" s="163"/>
    </row>
    <row r="147" spans="2:28" s="160" customFormat="1" outlineLevel="1" x14ac:dyDescent="0.25">
      <c r="B147" s="164" t="s">
        <v>111</v>
      </c>
      <c r="C147" s="161"/>
      <c r="D147" s="162"/>
      <c r="E147" s="162"/>
      <c r="F147" s="162"/>
      <c r="G147" s="162"/>
      <c r="H147" s="163"/>
      <c r="I147" s="166">
        <f>+I146/I136</f>
        <v>0.81580008061265608</v>
      </c>
      <c r="J147" s="166">
        <f t="shared" ref="J147" si="390">+J146/J136</f>
        <v>0.86401098901098905</v>
      </c>
      <c r="K147" s="166">
        <f t="shared" ref="K147" si="391">+K146/K136</f>
        <v>0.94685786587937593</v>
      </c>
      <c r="L147" s="166">
        <f t="shared" ref="L147" si="392">+L146/L136</f>
        <v>0.85417483339866718</v>
      </c>
      <c r="M147" s="167"/>
      <c r="N147" s="166">
        <f t="shared" ref="N147" si="393">+N146/N136</f>
        <v>0.8511749347258486</v>
      </c>
      <c r="O147" s="166">
        <f t="shared" ref="O147" si="394">+O146/O136</f>
        <v>1.0115537848605578</v>
      </c>
      <c r="P147" s="166">
        <f t="shared" ref="P147" si="395">+P146/P136</f>
        <v>0.857852502865877</v>
      </c>
      <c r="Q147" s="166">
        <f t="shared" ref="Q147" si="396">+Q146/Q136</f>
        <v>0.92891881780770669</v>
      </c>
      <c r="R147" s="165"/>
      <c r="S147" s="166">
        <f t="shared" ref="S147:T147" si="397">+S146/S136</f>
        <v>0.86894479909876077</v>
      </c>
      <c r="T147" s="166">
        <f t="shared" si="397"/>
        <v>0.98197802197802198</v>
      </c>
      <c r="U147" s="168">
        <v>0.93200000000000005</v>
      </c>
      <c r="V147" s="168">
        <v>0.90800000000000003</v>
      </c>
      <c r="W147" s="163"/>
      <c r="X147" s="168">
        <f>+S147</f>
        <v>0.86894479909876077</v>
      </c>
      <c r="Y147" s="168">
        <f>+T147</f>
        <v>0.98197802197802198</v>
      </c>
      <c r="Z147" s="168">
        <f>+U147</f>
        <v>0.93200000000000005</v>
      </c>
      <c r="AA147" s="168">
        <f>+V147</f>
        <v>0.90800000000000003</v>
      </c>
      <c r="AB147" s="163"/>
    </row>
    <row r="148" spans="2:28" ht="18" x14ac:dyDescent="0.4">
      <c r="B148" s="245" t="s">
        <v>132</v>
      </c>
      <c r="C148" s="246"/>
      <c r="D148" s="28" t="s">
        <v>44</v>
      </c>
      <c r="E148" s="28" t="s">
        <v>45</v>
      </c>
      <c r="F148" s="28" t="s">
        <v>46</v>
      </c>
      <c r="G148" s="28" t="s">
        <v>47</v>
      </c>
      <c r="H148" s="75" t="s">
        <v>48</v>
      </c>
      <c r="I148" s="28" t="s">
        <v>37</v>
      </c>
      <c r="J148" s="28" t="s">
        <v>38</v>
      </c>
      <c r="K148" s="28" t="s">
        <v>39</v>
      </c>
      <c r="L148" s="28" t="s">
        <v>40</v>
      </c>
      <c r="M148" s="75" t="s">
        <v>41</v>
      </c>
      <c r="N148" s="28" t="s">
        <v>50</v>
      </c>
      <c r="O148" s="28" t="s">
        <v>51</v>
      </c>
      <c r="P148" s="28" t="s">
        <v>52</v>
      </c>
      <c r="Q148" s="28" t="s">
        <v>53</v>
      </c>
      <c r="R148" s="75" t="s">
        <v>54</v>
      </c>
      <c r="S148" s="28" t="s">
        <v>55</v>
      </c>
      <c r="T148" s="28" t="s">
        <v>182</v>
      </c>
      <c r="U148" s="26" t="s">
        <v>62</v>
      </c>
      <c r="V148" s="26" t="s">
        <v>63</v>
      </c>
      <c r="W148" s="77" t="s">
        <v>64</v>
      </c>
      <c r="X148" s="26" t="s">
        <v>65</v>
      </c>
      <c r="Y148" s="26" t="s">
        <v>66</v>
      </c>
      <c r="Z148" s="26" t="s">
        <v>67</v>
      </c>
      <c r="AA148" s="26" t="s">
        <v>68</v>
      </c>
      <c r="AB148" s="77" t="s">
        <v>69</v>
      </c>
    </row>
    <row r="149" spans="2:28" s="22" customFormat="1" outlineLevel="1" x14ac:dyDescent="0.25">
      <c r="B149" s="251" t="s">
        <v>139</v>
      </c>
      <c r="C149" s="252"/>
      <c r="D149" s="37"/>
      <c r="E149" s="37"/>
      <c r="F149" s="37"/>
      <c r="G149" s="37"/>
      <c r="H149" s="114"/>
      <c r="I149" s="106">
        <v>620.9</v>
      </c>
      <c r="J149" s="106">
        <v>518.4</v>
      </c>
      <c r="K149" s="106">
        <v>540.70000000000005</v>
      </c>
      <c r="L149" s="106">
        <v>576.5</v>
      </c>
      <c r="M149" s="51">
        <f>SUM(I149:L149)</f>
        <v>2256.5</v>
      </c>
      <c r="N149" s="106">
        <v>628</v>
      </c>
      <c r="O149" s="106">
        <v>562.6</v>
      </c>
      <c r="P149" s="106">
        <v>567.4</v>
      </c>
      <c r="Q149" s="106">
        <v>539.29999999999995</v>
      </c>
      <c r="R149" s="51">
        <f>SUM(N149:Q149)</f>
        <v>2297.3000000000002</v>
      </c>
      <c r="S149" s="106">
        <v>504.6</v>
      </c>
      <c r="T149" s="106">
        <v>446.6</v>
      </c>
      <c r="U149" s="106">
        <f>+P149*(1+U150)</f>
        <v>508.13091811301416</v>
      </c>
      <c r="V149" s="106">
        <f t="shared" ref="V149" si="398">+Q149*(1+V150)</f>
        <v>512.33499999999992</v>
      </c>
      <c r="W149" s="51">
        <f>SUM(S149:V149)</f>
        <v>1971.665918113014</v>
      </c>
      <c r="X149" s="106">
        <f>+S149*(1+X150)</f>
        <v>529.83000000000004</v>
      </c>
      <c r="Y149" s="106">
        <f>+T149*(1+Y150)</f>
        <v>468.93000000000006</v>
      </c>
      <c r="Z149" s="106">
        <f>+U149*(1+Z150)</f>
        <v>533.53746401866488</v>
      </c>
      <c r="AA149" s="106">
        <f t="shared" ref="AA149" si="399">+V149*(1+AA150)</f>
        <v>537.95174999999995</v>
      </c>
      <c r="AB149" s="51">
        <f>SUM(X149:AA149)</f>
        <v>2070.249214018665</v>
      </c>
    </row>
    <row r="150" spans="2:28" outlineLevel="1" x14ac:dyDescent="0.25">
      <c r="B150" s="145" t="s">
        <v>140</v>
      </c>
      <c r="C150" s="146"/>
      <c r="D150" s="116"/>
      <c r="E150" s="116"/>
      <c r="F150" s="116"/>
      <c r="G150" s="116"/>
      <c r="H150" s="117"/>
      <c r="I150" s="116"/>
      <c r="J150" s="116"/>
      <c r="K150" s="116"/>
      <c r="L150" s="116"/>
      <c r="M150" s="118"/>
      <c r="N150" s="147">
        <f>+N149/I149-1</f>
        <v>1.1435013689805151E-2</v>
      </c>
      <c r="O150" s="147">
        <f t="shared" ref="O150" si="400">+O149/J149-1</f>
        <v>8.5262345679012475E-2</v>
      </c>
      <c r="P150" s="147">
        <f t="shared" ref="P150" si="401">+P149/K149-1</f>
        <v>4.938043277233195E-2</v>
      </c>
      <c r="Q150" s="147">
        <f t="shared" ref="Q150" si="402">+Q149/L149-1</f>
        <v>-6.4527320034692193E-2</v>
      </c>
      <c r="R150" s="118"/>
      <c r="S150" s="147">
        <f>+S149/N149-1</f>
        <v>-0.19649681528662422</v>
      </c>
      <c r="T150" s="147">
        <f>+T149/O149-1</f>
        <v>-0.20618556701030932</v>
      </c>
      <c r="U150" s="148">
        <f>AVERAGE(T150,S150,Q150,P150)</f>
        <v>-0.10445731738982345</v>
      </c>
      <c r="V150" s="148">
        <v>-0.05</v>
      </c>
      <c r="W150" s="118"/>
      <c r="X150" s="148">
        <v>0.05</v>
      </c>
      <c r="Y150" s="148">
        <v>0.05</v>
      </c>
      <c r="Z150" s="148">
        <v>0.05</v>
      </c>
      <c r="AA150" s="148">
        <v>0.05</v>
      </c>
      <c r="AB150" s="118"/>
    </row>
    <row r="151" spans="2:28" outlineLevel="1" x14ac:dyDescent="0.25">
      <c r="B151" s="255" t="s">
        <v>73</v>
      </c>
      <c r="C151" s="256"/>
      <c r="D151" s="30"/>
      <c r="E151" s="30"/>
      <c r="F151" s="30"/>
      <c r="G151" s="30"/>
      <c r="H151" s="45"/>
      <c r="I151" s="104">
        <v>324.8</v>
      </c>
      <c r="J151" s="104">
        <v>286.5</v>
      </c>
      <c r="K151" s="104">
        <v>286</v>
      </c>
      <c r="L151" s="104">
        <v>311.89999999999998</v>
      </c>
      <c r="M151" s="170"/>
      <c r="N151" s="104">
        <v>330.7</v>
      </c>
      <c r="O151" s="104">
        <v>302.8</v>
      </c>
      <c r="P151" s="104">
        <v>304.60000000000002</v>
      </c>
      <c r="Q151" s="104">
        <v>314.3</v>
      </c>
      <c r="R151" s="170"/>
      <c r="S151" s="104">
        <v>348.4</v>
      </c>
      <c r="T151" s="104">
        <v>305.39999999999998</v>
      </c>
      <c r="U151" s="104">
        <f>+(U149*U162)*(T151/T161)</f>
        <v>343.2623389309814</v>
      </c>
      <c r="V151" s="104">
        <f>+(V149*V162)*(U151/U161)</f>
        <v>353.98718838136091</v>
      </c>
      <c r="W151" s="170"/>
      <c r="X151" s="104">
        <f>+(X149*X162)*(V151/V161)</f>
        <v>364.80522580645157</v>
      </c>
      <c r="Y151" s="104">
        <f>+(Y149*Y162)*(X151/X161)</f>
        <v>320.67</v>
      </c>
      <c r="Z151" s="104">
        <f>+(Z149*Z162)*(Y151/Y161)</f>
        <v>360.42545587753051</v>
      </c>
      <c r="AA151" s="104">
        <f>+(AA149*AA162)*(Z151/Z161)</f>
        <v>371.68654780042903</v>
      </c>
      <c r="AB151" s="170"/>
    </row>
    <row r="152" spans="2:28" outlineLevel="1" x14ac:dyDescent="0.25">
      <c r="B152" s="43" t="s">
        <v>74</v>
      </c>
      <c r="C152" s="32"/>
      <c r="D152" s="30"/>
      <c r="E152" s="30"/>
      <c r="F152" s="30"/>
      <c r="G152" s="30"/>
      <c r="H152" s="45"/>
      <c r="I152" s="104">
        <v>0</v>
      </c>
      <c r="J152" s="104">
        <v>0</v>
      </c>
      <c r="K152" s="104">
        <v>0</v>
      </c>
      <c r="L152" s="104">
        <v>0</v>
      </c>
      <c r="M152" s="105"/>
      <c r="N152" s="104">
        <v>0</v>
      </c>
      <c r="O152" s="104">
        <v>0</v>
      </c>
      <c r="P152" s="104">
        <v>0</v>
      </c>
      <c r="Q152" s="104">
        <v>0</v>
      </c>
      <c r="R152" s="105"/>
      <c r="S152" s="104">
        <v>0</v>
      </c>
      <c r="T152" s="104">
        <v>0</v>
      </c>
      <c r="U152" s="104">
        <f>+(U149*U162)*(T152/T161)</f>
        <v>0</v>
      </c>
      <c r="V152" s="104">
        <f>+(V149*V162)*(U152/U161)</f>
        <v>0</v>
      </c>
      <c r="W152" s="105"/>
      <c r="X152" s="104">
        <f>+(X149*X162)*(V152/V161)</f>
        <v>0</v>
      </c>
      <c r="Y152" s="104">
        <f>+(Y149*Y162)*(X152/X161)</f>
        <v>0</v>
      </c>
      <c r="Z152" s="104">
        <f>+(Z149*Z162)*(Y152/Y161)</f>
        <v>0</v>
      </c>
      <c r="AA152" s="104">
        <f>+(AA149*AA162)*(Z152/Z161)</f>
        <v>0</v>
      </c>
      <c r="AB152" s="105"/>
    </row>
    <row r="153" spans="2:28" outlineLevel="1" x14ac:dyDescent="0.25">
      <c r="B153" s="43" t="s">
        <v>75</v>
      </c>
      <c r="C153" s="32"/>
      <c r="D153" s="30"/>
      <c r="E153" s="30"/>
      <c r="F153" s="30"/>
      <c r="G153" s="30"/>
      <c r="H153" s="45"/>
      <c r="I153" s="104">
        <v>69.900000000000006</v>
      </c>
      <c r="J153" s="104">
        <v>61.4</v>
      </c>
      <c r="K153" s="104">
        <v>70.3</v>
      </c>
      <c r="L153" s="104">
        <v>58.9</v>
      </c>
      <c r="M153" s="105"/>
      <c r="N153" s="104">
        <v>62.4</v>
      </c>
      <c r="O153" s="104">
        <v>58.1</v>
      </c>
      <c r="P153" s="104">
        <v>74</v>
      </c>
      <c r="Q153" s="104">
        <v>92</v>
      </c>
      <c r="R153" s="105"/>
      <c r="S153" s="104">
        <v>18.7</v>
      </c>
      <c r="T153" s="104">
        <v>17</v>
      </c>
      <c r="U153" s="104">
        <f>+(U149*U162)*(T153/T161)</f>
        <v>19.10759581475666</v>
      </c>
      <c r="V153" s="104">
        <f>+(V149*V162)*(U153/U161)</f>
        <v>19.704591363729982</v>
      </c>
      <c r="W153" s="105"/>
      <c r="X153" s="104">
        <f>+(X149*X162)*(V153/V161)</f>
        <v>20.306774193548385</v>
      </c>
      <c r="Y153" s="104">
        <f>+(Y149*Y162)*(X153/X161)</f>
        <v>17.850000000000005</v>
      </c>
      <c r="Z153" s="104">
        <f>+(Z149*Z162)*(Y153/Y161)</f>
        <v>20.062975605494501</v>
      </c>
      <c r="AA153" s="104">
        <f>+(AA149*AA162)*(Z153/Z161)</f>
        <v>20.68982093191649</v>
      </c>
      <c r="AB153" s="105"/>
    </row>
    <row r="154" spans="2:28" outlineLevel="1" x14ac:dyDescent="0.25">
      <c r="B154" s="43" t="s">
        <v>76</v>
      </c>
      <c r="C154" s="32"/>
      <c r="D154" s="30"/>
      <c r="E154" s="30"/>
      <c r="F154" s="30"/>
      <c r="G154" s="30"/>
      <c r="H154" s="45"/>
      <c r="I154" s="155">
        <v>0.8</v>
      </c>
      <c r="J154" s="155">
        <v>0.8</v>
      </c>
      <c r="K154" s="155">
        <v>0.7</v>
      </c>
      <c r="L154" s="155">
        <v>0.7</v>
      </c>
      <c r="M154" s="20"/>
      <c r="N154" s="155">
        <v>0.6</v>
      </c>
      <c r="O154" s="155">
        <v>0.3</v>
      </c>
      <c r="P154" s="155">
        <v>0.2</v>
      </c>
      <c r="Q154" s="155">
        <v>0.1</v>
      </c>
      <c r="R154" s="20"/>
      <c r="S154" s="155">
        <v>0</v>
      </c>
      <c r="T154" s="155">
        <v>12.3</v>
      </c>
      <c r="U154" s="240">
        <v>12.721405114560929</v>
      </c>
      <c r="V154" s="240">
        <v>13.211913024045996</v>
      </c>
      <c r="W154" s="20"/>
      <c r="X154" s="240">
        <v>13.529886581462971</v>
      </c>
      <c r="Y154" s="240">
        <v>13.905035970340769</v>
      </c>
      <c r="Z154" s="240">
        <v>13.844029989725593</v>
      </c>
      <c r="AA154" s="240">
        <v>13.865908497763773</v>
      </c>
      <c r="AB154" s="20"/>
    </row>
    <row r="155" spans="2:28" outlineLevel="1" x14ac:dyDescent="0.25">
      <c r="B155" s="43" t="s">
        <v>77</v>
      </c>
      <c r="C155" s="32"/>
      <c r="D155" s="30"/>
      <c r="E155" s="30"/>
      <c r="F155" s="30"/>
      <c r="G155" s="30"/>
      <c r="H155" s="20"/>
      <c r="I155" s="104">
        <v>3.4</v>
      </c>
      <c r="J155" s="104">
        <v>2.2000000000000002</v>
      </c>
      <c r="K155" s="104">
        <v>2.9</v>
      </c>
      <c r="L155" s="104">
        <v>2.9</v>
      </c>
      <c r="M155" s="105"/>
      <c r="N155" s="104">
        <v>3.4</v>
      </c>
      <c r="O155" s="104">
        <v>3.4</v>
      </c>
      <c r="P155" s="104">
        <v>3.7</v>
      </c>
      <c r="Q155" s="104">
        <v>3.3</v>
      </c>
      <c r="R155" s="105"/>
      <c r="S155" s="104">
        <v>3.2</v>
      </c>
      <c r="T155" s="104">
        <v>3.1</v>
      </c>
      <c r="U155" s="104">
        <f>+(U149*U162)*(T155/T161)</f>
        <v>3.4843262956320973</v>
      </c>
      <c r="V155" s="104">
        <f>+(V149*V162)*(U155/U161)</f>
        <v>3.5931901898566441</v>
      </c>
      <c r="W155" s="105"/>
      <c r="X155" s="104">
        <f>+(X149*X162)*(V155/V161)</f>
        <v>3.7030000000000003</v>
      </c>
      <c r="Y155" s="104">
        <f>+(Y149*Y162)*(X155/X161)</f>
        <v>3.2550000000000012</v>
      </c>
      <c r="Z155" s="104">
        <f>+(Z149*Z162)*(Y155/Y161)</f>
        <v>3.6585426104137029</v>
      </c>
      <c r="AA155" s="104">
        <f>+(AA149*AA162)*(Z155/Z161)</f>
        <v>3.7728496993494769</v>
      </c>
      <c r="AB155" s="105"/>
    </row>
    <row r="156" spans="2:28" ht="17.25" outlineLevel="1" x14ac:dyDescent="0.4">
      <c r="B156" s="43" t="s">
        <v>85</v>
      </c>
      <c r="C156" s="32"/>
      <c r="D156" s="30"/>
      <c r="E156" s="30"/>
      <c r="F156" s="30"/>
      <c r="G156" s="30"/>
      <c r="H156" s="20"/>
      <c r="I156" s="156">
        <v>0</v>
      </c>
      <c r="J156" s="156">
        <v>0</v>
      </c>
      <c r="K156" s="156">
        <v>0</v>
      </c>
      <c r="L156" s="156">
        <v>0</v>
      </c>
      <c r="M156" s="171"/>
      <c r="N156" s="156">
        <v>0</v>
      </c>
      <c r="O156" s="156">
        <v>0</v>
      </c>
      <c r="P156" s="156">
        <v>0</v>
      </c>
      <c r="Q156" s="156">
        <v>0</v>
      </c>
      <c r="R156" s="171"/>
      <c r="S156" s="156">
        <v>0</v>
      </c>
      <c r="T156" s="156">
        <v>0</v>
      </c>
      <c r="U156" s="156">
        <f>+(U149*U162)*(T156/T161)</f>
        <v>0</v>
      </c>
      <c r="V156" s="156">
        <f>+(V149*V162)*(U156/U161)</f>
        <v>0</v>
      </c>
      <c r="W156" s="171"/>
      <c r="X156" s="156">
        <f>+(X149*X162)*(V156/V161)</f>
        <v>0</v>
      </c>
      <c r="Y156" s="156">
        <f>+(Y149*Y162)*(X156/X161)</f>
        <v>0</v>
      </c>
      <c r="Z156" s="156">
        <f>+(Z149*Z162)*(Y156/Y161)</f>
        <v>0</v>
      </c>
      <c r="AA156" s="156">
        <f>+(AA149*AA162)*(Z156/Z161)</f>
        <v>0</v>
      </c>
      <c r="AB156" s="171"/>
    </row>
    <row r="157" spans="2:28" outlineLevel="1" x14ac:dyDescent="0.25">
      <c r="B157" s="102" t="s">
        <v>133</v>
      </c>
      <c r="C157" s="35"/>
      <c r="D157" s="30"/>
      <c r="E157" s="30"/>
      <c r="F157" s="30"/>
      <c r="G157" s="30"/>
      <c r="H157" s="23"/>
      <c r="I157" s="106">
        <f t="shared" ref="I157" si="403">SUM(I151:I156)</f>
        <v>398.90000000000003</v>
      </c>
      <c r="J157" s="106">
        <f t="shared" ref="J157" si="404">SUM(J151:J156)</f>
        <v>350.9</v>
      </c>
      <c r="K157" s="106">
        <f t="shared" ref="K157" si="405">SUM(K151:K156)</f>
        <v>359.9</v>
      </c>
      <c r="L157" s="106">
        <f t="shared" ref="L157" si="406">SUM(L151:L156)</f>
        <v>374.39999999999992</v>
      </c>
      <c r="M157" s="20"/>
      <c r="N157" s="106">
        <f>SUM(N151:N156)</f>
        <v>397.09999999999997</v>
      </c>
      <c r="O157" s="106">
        <f t="shared" ref="O157" si="407">SUM(O151:O156)</f>
        <v>364.6</v>
      </c>
      <c r="P157" s="106">
        <f t="shared" ref="P157" si="408">SUM(P151:P156)</f>
        <v>382.5</v>
      </c>
      <c r="Q157" s="106">
        <f t="shared" ref="Q157" si="409">SUM(Q151:Q156)</f>
        <v>409.70000000000005</v>
      </c>
      <c r="R157" s="20"/>
      <c r="S157" s="106">
        <f>SUM(S151:S156)</f>
        <v>370.29999999999995</v>
      </c>
      <c r="T157" s="106">
        <f t="shared" ref="T157:V157" si="410">SUM(T151:T156)</f>
        <v>337.8</v>
      </c>
      <c r="U157" s="106">
        <f t="shared" si="410"/>
        <v>378.57566615593112</v>
      </c>
      <c r="V157" s="106">
        <f t="shared" si="410"/>
        <v>390.49688295899358</v>
      </c>
      <c r="W157" s="20"/>
      <c r="X157" s="106">
        <f t="shared" ref="X157" si="411">SUM(X151:X156)</f>
        <v>402.3448865814629</v>
      </c>
      <c r="Y157" s="106">
        <f t="shared" ref="Y157" si="412">SUM(Y151:Y156)</f>
        <v>355.68003597034078</v>
      </c>
      <c r="Z157" s="106">
        <f t="shared" ref="Z157:AA157" si="413">SUM(Z151:Z156)</f>
        <v>397.99100408316428</v>
      </c>
      <c r="AA157" s="106">
        <f t="shared" si="413"/>
        <v>410.01512692945875</v>
      </c>
      <c r="AB157" s="20"/>
    </row>
    <row r="158" spans="2:28" ht="17.25" outlineLevel="1" x14ac:dyDescent="0.4">
      <c r="B158" s="103" t="s">
        <v>78</v>
      </c>
      <c r="C158" s="93"/>
      <c r="D158" s="30"/>
      <c r="E158" s="30"/>
      <c r="F158" s="30"/>
      <c r="G158" s="30"/>
      <c r="H158" s="23"/>
      <c r="I158" s="108">
        <v>41.9</v>
      </c>
      <c r="J158" s="108">
        <v>40</v>
      </c>
      <c r="K158" s="108">
        <v>49.2</v>
      </c>
      <c r="L158" s="108">
        <v>63.3</v>
      </c>
      <c r="M158" s="94"/>
      <c r="N158" s="108">
        <v>38.700000000000003</v>
      </c>
      <c r="O158" s="108">
        <v>36</v>
      </c>
      <c r="P158" s="108">
        <v>47.9</v>
      </c>
      <c r="Q158" s="108">
        <v>61.2</v>
      </c>
      <c r="R158" s="94"/>
      <c r="S158" s="108">
        <v>41.4</v>
      </c>
      <c r="T158" s="218">
        <v>40.200000000000003</v>
      </c>
      <c r="U158" s="112">
        <f>AVERAGE(T158,S158,Q158,P158)</f>
        <v>47.675000000000004</v>
      </c>
      <c r="V158" s="112">
        <f>AVERAGE(U158,T158,S158,Q158)</f>
        <v>47.618750000000006</v>
      </c>
      <c r="W158" s="94"/>
      <c r="X158" s="112">
        <f>AVERAGE(V158,U158,T158,S158)</f>
        <v>44.22343750000001</v>
      </c>
      <c r="Y158" s="112">
        <f>AVERAGE(X158,V158,U158,T158)</f>
        <v>44.929296875000006</v>
      </c>
      <c r="Z158" s="112">
        <f>AVERAGE(Y158,X158,V158,U158)</f>
        <v>46.11162109375001</v>
      </c>
      <c r="AA158" s="112">
        <f>AVERAGE(Z158,Y158,X158,V158)</f>
        <v>45.720776367187511</v>
      </c>
      <c r="AB158" s="94"/>
    </row>
    <row r="159" spans="2:28" outlineLevel="1" x14ac:dyDescent="0.25">
      <c r="B159" s="102" t="s">
        <v>134</v>
      </c>
      <c r="C159" s="93"/>
      <c r="D159" s="30"/>
      <c r="E159" s="30"/>
      <c r="F159" s="30"/>
      <c r="G159" s="30"/>
      <c r="H159" s="23"/>
      <c r="I159" s="157">
        <f t="shared" ref="I159:Q159" si="414">I149-I157+I158</f>
        <v>263.89999999999992</v>
      </c>
      <c r="J159" s="157">
        <f t="shared" si="414"/>
        <v>207.5</v>
      </c>
      <c r="K159" s="157">
        <f t="shared" si="414"/>
        <v>230.00000000000006</v>
      </c>
      <c r="L159" s="157">
        <f t="shared" si="414"/>
        <v>265.40000000000009</v>
      </c>
      <c r="M159" s="51">
        <f>SUM(I159:L159)</f>
        <v>966.80000000000007</v>
      </c>
      <c r="N159" s="157">
        <f t="shared" si="414"/>
        <v>269.60000000000002</v>
      </c>
      <c r="O159" s="157">
        <f t="shared" si="414"/>
        <v>234</v>
      </c>
      <c r="P159" s="157">
        <f t="shared" si="414"/>
        <v>232.79999999999998</v>
      </c>
      <c r="Q159" s="157">
        <f t="shared" si="414"/>
        <v>190.7999999999999</v>
      </c>
      <c r="R159" s="51">
        <f>SUM(N159:Q159)</f>
        <v>927.19999999999982</v>
      </c>
      <c r="S159" s="157">
        <f>S149-S157+S158</f>
        <v>175.70000000000007</v>
      </c>
      <c r="T159" s="157">
        <f>T149-T157+T158</f>
        <v>149</v>
      </c>
      <c r="U159" s="157">
        <f>U149-U157+U158</f>
        <v>177.23025195708306</v>
      </c>
      <c r="V159" s="157">
        <f>V149-V157+V158</f>
        <v>169.45686704100635</v>
      </c>
      <c r="W159" s="51">
        <f>SUM(S159:V159)</f>
        <v>671.38711899808948</v>
      </c>
      <c r="X159" s="157">
        <f t="shared" ref="X159:AA159" si="415">X149-X157+X158</f>
        <v>171.70855091853716</v>
      </c>
      <c r="Y159" s="157">
        <f t="shared" si="415"/>
        <v>158.17926090465929</v>
      </c>
      <c r="Z159" s="157">
        <f t="shared" si="415"/>
        <v>181.65808102925061</v>
      </c>
      <c r="AA159" s="157">
        <f t="shared" si="415"/>
        <v>173.65739943772871</v>
      </c>
      <c r="AB159" s="51">
        <f>SUM(X159:AA159)</f>
        <v>685.2032922901758</v>
      </c>
    </row>
    <row r="160" spans="2:28" outlineLevel="1" x14ac:dyDescent="0.25">
      <c r="B160" s="102" t="s">
        <v>135</v>
      </c>
      <c r="C160" s="93"/>
      <c r="D160" s="30"/>
      <c r="E160" s="30"/>
      <c r="F160" s="30"/>
      <c r="G160" s="30"/>
      <c r="H160" s="20"/>
      <c r="I160" s="158">
        <f t="shared" ref="I160:Q160" si="416">+I159/I149</f>
        <v>0.42502818489289729</v>
      </c>
      <c r="J160" s="158">
        <f t="shared" si="416"/>
        <v>0.40027006172839508</v>
      </c>
      <c r="K160" s="158">
        <f t="shared" si="416"/>
        <v>0.42537451451821717</v>
      </c>
      <c r="L160" s="158">
        <f t="shared" si="416"/>
        <v>0.46036426712922823</v>
      </c>
      <c r="M160" s="72">
        <f>M159/M149</f>
        <v>0.42845114114779531</v>
      </c>
      <c r="N160" s="158">
        <f t="shared" si="416"/>
        <v>0.42929936305732486</v>
      </c>
      <c r="O160" s="158">
        <f t="shared" si="416"/>
        <v>0.41592605758976181</v>
      </c>
      <c r="P160" s="158">
        <f t="shared" si="416"/>
        <v>0.41029256256609092</v>
      </c>
      <c r="Q160" s="158">
        <f t="shared" si="416"/>
        <v>0.35379195253105861</v>
      </c>
      <c r="R160" s="72">
        <f>R159/R149</f>
        <v>0.40360423105384569</v>
      </c>
      <c r="S160" s="158">
        <f>+S159/S149</f>
        <v>0.34819659135949282</v>
      </c>
      <c r="T160" s="158">
        <f>+T159/T149</f>
        <v>0.33363188535602328</v>
      </c>
      <c r="U160" s="158">
        <f>+U159/U149</f>
        <v>0.34878856145034853</v>
      </c>
      <c r="V160" s="158">
        <f>+V159/V149</f>
        <v>0.33075403210986243</v>
      </c>
      <c r="W160" s="208">
        <f>W159/W149</f>
        <v>0.3405176875201259</v>
      </c>
      <c r="X160" s="158">
        <f t="shared" ref="X160:AA160" si="417">+X159/X149</f>
        <v>0.32408234890160453</v>
      </c>
      <c r="Y160" s="158">
        <f t="shared" si="417"/>
        <v>0.33731955921919959</v>
      </c>
      <c r="Z160" s="158">
        <f t="shared" si="417"/>
        <v>0.34047858544174436</v>
      </c>
      <c r="AA160" s="158">
        <f t="shared" si="417"/>
        <v>0.32281222142641741</v>
      </c>
      <c r="AB160" s="72">
        <f>AB159/AB149</f>
        <v>0.33097623592866543</v>
      </c>
    </row>
    <row r="161" spans="2:28" s="160" customFormat="1" outlineLevel="1" x14ac:dyDescent="0.25">
      <c r="B161" s="164" t="s">
        <v>110</v>
      </c>
      <c r="C161" s="161"/>
      <c r="D161" s="162"/>
      <c r="E161" s="162"/>
      <c r="F161" s="162"/>
      <c r="G161" s="162"/>
      <c r="H161" s="163"/>
      <c r="I161" s="130">
        <f>+I157-I154</f>
        <v>398.1</v>
      </c>
      <c r="J161" s="130">
        <f t="shared" ref="J161:L161" si="418">+J157-J154</f>
        <v>350.09999999999997</v>
      </c>
      <c r="K161" s="130">
        <f t="shared" si="418"/>
        <v>359.2</v>
      </c>
      <c r="L161" s="130">
        <f t="shared" si="418"/>
        <v>373.69999999999993</v>
      </c>
      <c r="M161" s="165"/>
      <c r="N161" s="130">
        <f t="shared" ref="N161:Q161" si="419">+N157-N154</f>
        <v>396.49999999999994</v>
      </c>
      <c r="O161" s="130">
        <f t="shared" si="419"/>
        <v>364.3</v>
      </c>
      <c r="P161" s="130">
        <f t="shared" si="419"/>
        <v>382.3</v>
      </c>
      <c r="Q161" s="130">
        <f t="shared" si="419"/>
        <v>409.6</v>
      </c>
      <c r="R161" s="165"/>
      <c r="S161" s="130">
        <f t="shared" ref="S161" si="420">+S157-S154</f>
        <v>370.29999999999995</v>
      </c>
      <c r="T161" s="130">
        <f>+T157-T154</f>
        <v>325.5</v>
      </c>
      <c r="U161" s="130">
        <f>+U157-U154</f>
        <v>365.85426104137019</v>
      </c>
      <c r="V161" s="130">
        <f>+V157-V154</f>
        <v>377.28496993494758</v>
      </c>
      <c r="W161" s="133"/>
      <c r="X161" s="130">
        <f t="shared" ref="X161:AA161" si="421">+X157-X154</f>
        <v>388.81499999999994</v>
      </c>
      <c r="Y161" s="130">
        <f t="shared" si="421"/>
        <v>341.77500000000003</v>
      </c>
      <c r="Z161" s="130">
        <f t="shared" si="421"/>
        <v>384.1469740934387</v>
      </c>
      <c r="AA161" s="130">
        <f t="shared" si="421"/>
        <v>396.14921843169498</v>
      </c>
      <c r="AB161" s="163"/>
    </row>
    <row r="162" spans="2:28" s="160" customFormat="1" outlineLevel="1" x14ac:dyDescent="0.25">
      <c r="B162" s="164" t="s">
        <v>111</v>
      </c>
      <c r="C162" s="161"/>
      <c r="D162" s="162"/>
      <c r="E162" s="162"/>
      <c r="F162" s="162"/>
      <c r="G162" s="162"/>
      <c r="H162" s="163"/>
      <c r="I162" s="166">
        <f t="shared" ref="I162:Q162" si="422">+I161/I149</f>
        <v>0.64116604928329846</v>
      </c>
      <c r="J162" s="166">
        <f t="shared" si="422"/>
        <v>0.67534722222222221</v>
      </c>
      <c r="K162" s="166">
        <f t="shared" si="422"/>
        <v>0.66432402441279814</v>
      </c>
      <c r="L162" s="166">
        <f t="shared" si="422"/>
        <v>0.64822202948829133</v>
      </c>
      <c r="M162" s="167"/>
      <c r="N162" s="166">
        <f t="shared" si="422"/>
        <v>0.63136942675159224</v>
      </c>
      <c r="O162" s="166">
        <f t="shared" si="422"/>
        <v>0.64752932811944541</v>
      </c>
      <c r="P162" s="166">
        <f t="shared" si="422"/>
        <v>0.67377511455763139</v>
      </c>
      <c r="Q162" s="166">
        <f t="shared" si="422"/>
        <v>0.75950305952160213</v>
      </c>
      <c r="R162" s="167"/>
      <c r="S162" s="166">
        <f>+S161/S149</f>
        <v>0.73384859294490679</v>
      </c>
      <c r="T162" s="166">
        <f>+T161/T149</f>
        <v>0.7288401253918495</v>
      </c>
      <c r="U162" s="168">
        <v>0.72</v>
      </c>
      <c r="V162" s="168">
        <v>0.73640288080054583</v>
      </c>
      <c r="W162" s="163"/>
      <c r="X162" s="168">
        <f>+S162</f>
        <v>0.73384859294490679</v>
      </c>
      <c r="Y162" s="168">
        <f>+T162</f>
        <v>0.7288401253918495</v>
      </c>
      <c r="Z162" s="168">
        <f>+U162</f>
        <v>0.72</v>
      </c>
      <c r="AA162" s="168">
        <f>+V162</f>
        <v>0.73640288080054583</v>
      </c>
      <c r="AB162" s="163"/>
    </row>
    <row r="163" spans="2:28" ht="18" x14ac:dyDescent="0.4">
      <c r="B163" s="245" t="s">
        <v>136</v>
      </c>
      <c r="C163" s="246"/>
      <c r="D163" s="28" t="s">
        <v>44</v>
      </c>
      <c r="E163" s="28" t="s">
        <v>45</v>
      </c>
      <c r="F163" s="28" t="s">
        <v>46</v>
      </c>
      <c r="G163" s="28" t="s">
        <v>47</v>
      </c>
      <c r="H163" s="75" t="s">
        <v>48</v>
      </c>
      <c r="I163" s="28" t="s">
        <v>37</v>
      </c>
      <c r="J163" s="28" t="s">
        <v>38</v>
      </c>
      <c r="K163" s="28" t="s">
        <v>39</v>
      </c>
      <c r="L163" s="28" t="s">
        <v>40</v>
      </c>
      <c r="M163" s="75" t="s">
        <v>41</v>
      </c>
      <c r="N163" s="28" t="s">
        <v>50</v>
      </c>
      <c r="O163" s="28" t="s">
        <v>51</v>
      </c>
      <c r="P163" s="28" t="s">
        <v>52</v>
      </c>
      <c r="Q163" s="28" t="s">
        <v>53</v>
      </c>
      <c r="R163" s="75" t="s">
        <v>54</v>
      </c>
      <c r="S163" s="28" t="s">
        <v>55</v>
      </c>
      <c r="T163" s="28" t="s">
        <v>182</v>
      </c>
      <c r="U163" s="26" t="s">
        <v>62</v>
      </c>
      <c r="V163" s="26" t="s">
        <v>63</v>
      </c>
      <c r="W163" s="77" t="s">
        <v>64</v>
      </c>
      <c r="X163" s="26" t="s">
        <v>65</v>
      </c>
      <c r="Y163" s="26" t="s">
        <v>66</v>
      </c>
      <c r="Z163" s="26" t="s">
        <v>67</v>
      </c>
      <c r="AA163" s="26" t="s">
        <v>68</v>
      </c>
      <c r="AB163" s="77" t="s">
        <v>69</v>
      </c>
    </row>
    <row r="164" spans="2:28" s="22" customFormat="1" outlineLevel="1" x14ac:dyDescent="0.25">
      <c r="B164" s="247" t="s">
        <v>143</v>
      </c>
      <c r="C164" s="248"/>
      <c r="D164" s="106"/>
      <c r="E164" s="106"/>
      <c r="F164" s="106"/>
      <c r="G164" s="106"/>
      <c r="H164" s="123"/>
      <c r="I164" s="106">
        <v>70.900000000000006</v>
      </c>
      <c r="J164" s="106">
        <v>45.2</v>
      </c>
      <c r="K164" s="106">
        <v>39.6</v>
      </c>
      <c r="L164" s="106">
        <v>41.5</v>
      </c>
      <c r="M164" s="124"/>
      <c r="N164" s="104">
        <v>60.7</v>
      </c>
      <c r="O164" s="104">
        <v>25.9</v>
      </c>
      <c r="P164" s="104">
        <v>12.5</v>
      </c>
      <c r="Q164" s="104">
        <v>13.6</v>
      </c>
      <c r="R164" s="25"/>
      <c r="S164" s="104">
        <v>16.8</v>
      </c>
      <c r="T164" s="104">
        <v>21</v>
      </c>
      <c r="U164" s="104">
        <f>+P164*(1+U165)</f>
        <v>13.750000000000002</v>
      </c>
      <c r="V164" s="104">
        <f t="shared" ref="V164" si="423">+Q164*(1+V165)</f>
        <v>14.96</v>
      </c>
      <c r="W164" s="20"/>
      <c r="X164" s="104">
        <f>+S164*(1+X165)</f>
        <v>16.968</v>
      </c>
      <c r="Y164" s="104">
        <f>+T164*(1+Y165)</f>
        <v>21.21</v>
      </c>
      <c r="Z164" s="104">
        <f>+U164*(1+Z165)</f>
        <v>13.887500000000001</v>
      </c>
      <c r="AA164" s="104">
        <f t="shared" ref="AA164" si="424">+V164*(1+AA165)</f>
        <v>15.1096</v>
      </c>
      <c r="AB164" s="20"/>
    </row>
    <row r="165" spans="2:28" s="22" customFormat="1" outlineLevel="1" x14ac:dyDescent="0.25">
      <c r="B165" s="43" t="s">
        <v>142</v>
      </c>
      <c r="C165" s="65"/>
      <c r="D165" s="106"/>
      <c r="E165" s="106"/>
      <c r="F165" s="106"/>
      <c r="G165" s="106"/>
      <c r="H165" s="123"/>
      <c r="I165" s="106"/>
      <c r="J165" s="106"/>
      <c r="K165" s="106"/>
      <c r="L165" s="106"/>
      <c r="M165" s="124"/>
      <c r="N165" s="172">
        <f>+N164/I164-1</f>
        <v>-0.14386459802538787</v>
      </c>
      <c r="O165" s="50">
        <f t="shared" ref="O165" si="425">+O164/J164-1</f>
        <v>-0.42699115044247793</v>
      </c>
      <c r="P165" s="50">
        <f t="shared" ref="P165" si="426">+P164/K164-1</f>
        <v>-0.68434343434343436</v>
      </c>
      <c r="Q165" s="50">
        <f t="shared" ref="Q165" si="427">+Q164/L164-1</f>
        <v>-0.67228915662650601</v>
      </c>
      <c r="R165" s="20"/>
      <c r="S165" s="50">
        <f>+S164/N164-1</f>
        <v>-0.7232289950576607</v>
      </c>
      <c r="T165" s="50">
        <f>+T164/O164-1</f>
        <v>-0.18918918918918914</v>
      </c>
      <c r="U165" s="54">
        <v>0.1</v>
      </c>
      <c r="V165" s="54">
        <v>0.1</v>
      </c>
      <c r="W165" s="20"/>
      <c r="X165" s="54">
        <v>0.01</v>
      </c>
      <c r="Y165" s="54">
        <v>0.01</v>
      </c>
      <c r="Z165" s="54">
        <v>0.01</v>
      </c>
      <c r="AA165" s="54">
        <v>0.01</v>
      </c>
      <c r="AB165" s="20"/>
    </row>
    <row r="166" spans="2:28" s="22" customFormat="1" outlineLevel="1" x14ac:dyDescent="0.25">
      <c r="B166" s="247" t="s">
        <v>144</v>
      </c>
      <c r="C166" s="248"/>
      <c r="D166" s="106"/>
      <c r="E166" s="106"/>
      <c r="F166" s="106"/>
      <c r="G166" s="106"/>
      <c r="H166" s="123"/>
      <c r="I166" s="106">
        <v>0.9</v>
      </c>
      <c r="J166" s="106">
        <v>0.7</v>
      </c>
      <c r="K166" s="106">
        <v>0.6</v>
      </c>
      <c r="L166" s="106">
        <v>0.5</v>
      </c>
      <c r="M166" s="124"/>
      <c r="N166" s="173">
        <v>1.1000000000000001</v>
      </c>
      <c r="O166" s="104">
        <v>0</v>
      </c>
      <c r="P166" s="104">
        <v>0</v>
      </c>
      <c r="Q166" s="104">
        <v>0</v>
      </c>
      <c r="R166" s="25"/>
      <c r="S166" s="104">
        <v>0</v>
      </c>
      <c r="T166" s="104">
        <v>0</v>
      </c>
      <c r="U166" s="104">
        <f>+P166*(1+U167)</f>
        <v>0</v>
      </c>
      <c r="V166" s="104">
        <f t="shared" ref="V166" si="428">+Q166*(1+V167)</f>
        <v>0</v>
      </c>
      <c r="W166" s="20"/>
      <c r="X166" s="104">
        <f>+S166*(1+X167)</f>
        <v>0</v>
      </c>
      <c r="Y166" s="104">
        <f>+T166*(1+Y167)</f>
        <v>0</v>
      </c>
      <c r="Z166" s="104">
        <f>+U166*(1+Z167)</f>
        <v>0</v>
      </c>
      <c r="AA166" s="104">
        <f t="shared" ref="AA166" si="429">+V166*(1+AA167)</f>
        <v>0</v>
      </c>
      <c r="AB166" s="20"/>
    </row>
    <row r="167" spans="2:28" s="22" customFormat="1" outlineLevel="1" x14ac:dyDescent="0.25">
      <c r="B167" s="43" t="s">
        <v>141</v>
      </c>
      <c r="C167" s="65"/>
      <c r="D167" s="106"/>
      <c r="E167" s="106"/>
      <c r="F167" s="106"/>
      <c r="G167" s="106"/>
      <c r="H167" s="123"/>
      <c r="I167" s="106"/>
      <c r="J167" s="106"/>
      <c r="K167" s="106"/>
      <c r="L167" s="106"/>
      <c r="M167" s="124"/>
      <c r="N167" s="172">
        <f>+N166/I166-1</f>
        <v>0.22222222222222232</v>
      </c>
      <c r="O167" s="50">
        <f t="shared" ref="O167" si="430">+O166/J166-1</f>
        <v>-1</v>
      </c>
      <c r="P167" s="50">
        <f t="shared" ref="P167" si="431">+P166/K166-1</f>
        <v>-1</v>
      </c>
      <c r="Q167" s="50">
        <f t="shared" ref="Q167" si="432">+Q166/L166-1</f>
        <v>-1</v>
      </c>
      <c r="R167" s="20"/>
      <c r="S167" s="50">
        <f>+S166/N166-1</f>
        <v>-1</v>
      </c>
      <c r="T167" s="230"/>
      <c r="U167" s="125">
        <f>AVERAGE(T167,S167,Q167,P167)</f>
        <v>-1</v>
      </c>
      <c r="V167" s="125">
        <f>AVERAGE(U167,T167,S167,Q167)</f>
        <v>-1</v>
      </c>
      <c r="W167" s="122"/>
      <c r="X167" s="125">
        <f>AVERAGE(V167,U167,T167,S167)</f>
        <v>-1</v>
      </c>
      <c r="Y167" s="125">
        <f>AVERAGE(X167,V167,U167,T167)</f>
        <v>-1</v>
      </c>
      <c r="Z167" s="125">
        <f>AVERAGE(Y167,X167,V167,U167)</f>
        <v>-1</v>
      </c>
      <c r="AA167" s="125">
        <f>AVERAGE(Z167,Y167,X167,V167)</f>
        <v>-1</v>
      </c>
      <c r="AB167" s="122"/>
    </row>
    <row r="168" spans="2:28" s="22" customFormat="1" outlineLevel="1" x14ac:dyDescent="0.25">
      <c r="B168" s="247" t="s">
        <v>145</v>
      </c>
      <c r="C168" s="248"/>
      <c r="D168" s="37"/>
      <c r="E168" s="37"/>
      <c r="F168" s="37"/>
      <c r="G168" s="37"/>
      <c r="H168" s="114"/>
      <c r="I168" s="106">
        <v>37.5</v>
      </c>
      <c r="J168" s="106">
        <v>29.4</v>
      </c>
      <c r="K168" s="106">
        <v>21.1</v>
      </c>
      <c r="L168" s="106">
        <v>23.5</v>
      </c>
      <c r="M168" s="124"/>
      <c r="N168" s="104">
        <v>14.5</v>
      </c>
      <c r="O168" s="104">
        <v>9.6</v>
      </c>
      <c r="P168" s="104">
        <v>15.7</v>
      </c>
      <c r="Q168" s="104">
        <v>14.6</v>
      </c>
      <c r="R168" s="25"/>
      <c r="S168" s="104">
        <v>11.7</v>
      </c>
      <c r="T168" s="104">
        <v>15.8</v>
      </c>
      <c r="U168" s="104">
        <f>+P168*(1+U169)</f>
        <v>14.985973067480199</v>
      </c>
      <c r="V168" s="104">
        <f t="shared" ref="V168" si="433">+Q168*(1+V169)</f>
        <v>14.704123762972614</v>
      </c>
      <c r="W168" s="20"/>
      <c r="X168" s="104">
        <f>+S168*(1+X169)</f>
        <v>12.912068014534103</v>
      </c>
      <c r="Y168" s="104">
        <f>+T168*(1+Y169)</f>
        <v>18.608770867445941</v>
      </c>
      <c r="Z168" s="104">
        <f>+U168*(1+Z169)</f>
        <v>15.896439143723764</v>
      </c>
      <c r="AA168" s="104">
        <f t="shared" ref="AA168" si="434">+V168*(1+AA169)</f>
        <v>15.987985587187927</v>
      </c>
      <c r="AB168" s="20"/>
    </row>
    <row r="169" spans="2:28" outlineLevel="1" x14ac:dyDescent="0.25">
      <c r="B169" s="145" t="s">
        <v>102</v>
      </c>
      <c r="C169" s="146"/>
      <c r="D169" s="116"/>
      <c r="E169" s="116"/>
      <c r="F169" s="116"/>
      <c r="G169" s="116"/>
      <c r="H169" s="117"/>
      <c r="I169" s="116"/>
      <c r="J169" s="116"/>
      <c r="K169" s="116"/>
      <c r="L169" s="116"/>
      <c r="M169" s="118"/>
      <c r="N169" s="147">
        <f>+N168/I168-1</f>
        <v>-0.61333333333333329</v>
      </c>
      <c r="O169" s="147">
        <f t="shared" ref="O169" si="435">+O168/J168-1</f>
        <v>-0.67346938775510201</v>
      </c>
      <c r="P169" s="147">
        <f t="shared" ref="P169" si="436">+P168/K168-1</f>
        <v>-0.25592417061611383</v>
      </c>
      <c r="Q169" s="147">
        <f t="shared" ref="Q169" si="437">+Q168/L168-1</f>
        <v>-0.37872340425531914</v>
      </c>
      <c r="R169" s="118"/>
      <c r="S169" s="147">
        <f>+S168/N168-1</f>
        <v>-0.19310344827586212</v>
      </c>
      <c r="T169" s="147">
        <f>+T168/O168-1</f>
        <v>0.64583333333333348</v>
      </c>
      <c r="U169" s="125">
        <f>AVERAGE(T169,S169,Q169,P169)</f>
        <v>-4.5479422453490403E-2</v>
      </c>
      <c r="V169" s="125">
        <f>AVERAGE(U169,T169,S169,Q169)</f>
        <v>7.13176458716544E-3</v>
      </c>
      <c r="W169" s="122"/>
      <c r="X169" s="125">
        <f>AVERAGE(V169,U169,T169,S169)</f>
        <v>0.10359555679778659</v>
      </c>
      <c r="Y169" s="125">
        <f>AVERAGE(X169,V169,U169,T169)</f>
        <v>0.17777030806619878</v>
      </c>
      <c r="Z169" s="125">
        <f>AVERAGE(Y169,X169,V169,U169)</f>
        <v>6.0754551749415117E-2</v>
      </c>
      <c r="AA169" s="125">
        <f>AVERAGE(Z169,Y169,X169,V169)</f>
        <v>8.7313045300141473E-2</v>
      </c>
      <c r="AB169" s="122"/>
    </row>
    <row r="170" spans="2:28" outlineLevel="1" x14ac:dyDescent="0.25">
      <c r="B170" s="255" t="s">
        <v>73</v>
      </c>
      <c r="C170" s="256"/>
      <c r="D170" s="30"/>
      <c r="E170" s="30"/>
      <c r="F170" s="30"/>
      <c r="G170" s="30"/>
      <c r="H170" s="45"/>
      <c r="I170" s="104">
        <v>67.099999999999994</v>
      </c>
      <c r="J170" s="104">
        <v>54.2</v>
      </c>
      <c r="K170" s="104">
        <v>45.3</v>
      </c>
      <c r="L170" s="104">
        <v>58.6</v>
      </c>
      <c r="M170" s="25"/>
      <c r="N170" s="104">
        <v>57.4</v>
      </c>
      <c r="O170" s="104">
        <v>34.299999999999997</v>
      </c>
      <c r="P170" s="104">
        <v>35.4</v>
      </c>
      <c r="Q170" s="104">
        <v>36.200000000000003</v>
      </c>
      <c r="R170" s="25"/>
      <c r="S170" s="104">
        <v>35.9</v>
      </c>
      <c r="T170" s="104">
        <v>41.7</v>
      </c>
      <c r="U170" s="104">
        <f>AVERAGE(T170,S170,Q170,P170)</f>
        <v>37.299999999999997</v>
      </c>
      <c r="V170" s="104">
        <f>AVERAGE(U170,T170,S170,Q170)</f>
        <v>37.775000000000006</v>
      </c>
      <c r="W170" s="170"/>
      <c r="X170" s="104">
        <f>AVERAGE(V170,U170,T170,S170)</f>
        <v>38.168750000000003</v>
      </c>
      <c r="Y170" s="104">
        <f>AVERAGE(X170,V170,U170,T170)</f>
        <v>38.735937500000006</v>
      </c>
      <c r="Z170" s="104">
        <f>AVERAGE(Y170,X170,V170,U170)</f>
        <v>37.994921875000003</v>
      </c>
      <c r="AA170" s="104">
        <f>AVERAGE(Z170,Y170,X170,V170)</f>
        <v>38.168652343750004</v>
      </c>
      <c r="AB170" s="20"/>
    </row>
    <row r="171" spans="2:28" outlineLevel="1" x14ac:dyDescent="0.25">
      <c r="B171" s="43" t="s">
        <v>74</v>
      </c>
      <c r="C171" s="32"/>
      <c r="D171" s="30"/>
      <c r="E171" s="30"/>
      <c r="F171" s="30"/>
      <c r="G171" s="30"/>
      <c r="H171" s="45"/>
      <c r="I171" s="104">
        <v>30.7</v>
      </c>
      <c r="J171" s="104">
        <v>34.5</v>
      </c>
      <c r="K171" s="104">
        <v>24.2</v>
      </c>
      <c r="L171" s="104">
        <v>24.1</v>
      </c>
      <c r="M171" s="25"/>
      <c r="N171" s="104">
        <v>30.3</v>
      </c>
      <c r="O171" s="104">
        <v>13.6</v>
      </c>
      <c r="P171" s="104">
        <v>9.1999999999999993</v>
      </c>
      <c r="Q171" s="104">
        <v>17.5</v>
      </c>
      <c r="R171" s="25"/>
      <c r="S171" s="104">
        <v>18.8</v>
      </c>
      <c r="T171" s="104">
        <v>21.6</v>
      </c>
      <c r="U171" s="104">
        <f t="shared" ref="U171:U172" si="438">AVERAGE(T171,S171,Q171,P171)</f>
        <v>16.775000000000002</v>
      </c>
      <c r="V171" s="104">
        <f t="shared" ref="V171:V175" si="439">AVERAGE(U171,T171,S171,Q171)</f>
        <v>18.668749999999999</v>
      </c>
      <c r="W171" s="105"/>
      <c r="X171" s="104">
        <f t="shared" ref="X171:X175" si="440">AVERAGE(V171,U171,T171,S171)</f>
        <v>18.9609375</v>
      </c>
      <c r="Y171" s="104">
        <f t="shared" ref="Y171:Y172" si="441">AVERAGE(X171,V171,U171,T171)</f>
        <v>19.001171875000004</v>
      </c>
      <c r="Z171" s="104">
        <f t="shared" ref="Z171:Z172" si="442">AVERAGE(Y171,X171,V171,U171)</f>
        <v>18.351464843750001</v>
      </c>
      <c r="AA171" s="104">
        <f t="shared" ref="AA171:AA172" si="443">AVERAGE(Z171,Y171,X171,V171)</f>
        <v>18.745581054687502</v>
      </c>
      <c r="AB171" s="20"/>
    </row>
    <row r="172" spans="2:28" outlineLevel="1" x14ac:dyDescent="0.25">
      <c r="B172" s="43" t="s">
        <v>75</v>
      </c>
      <c r="C172" s="32"/>
      <c r="D172" s="30"/>
      <c r="E172" s="30"/>
      <c r="F172" s="30"/>
      <c r="G172" s="30"/>
      <c r="H172" s="45"/>
      <c r="I172" s="104">
        <v>9.8000000000000007</v>
      </c>
      <c r="J172" s="104">
        <v>11.3</v>
      </c>
      <c r="K172" s="104">
        <v>8.1999999999999993</v>
      </c>
      <c r="L172" s="104">
        <v>7.3</v>
      </c>
      <c r="M172" s="25"/>
      <c r="N172" s="104">
        <v>5.0999999999999996</v>
      </c>
      <c r="O172" s="104">
        <v>5.4</v>
      </c>
      <c r="P172" s="104">
        <v>2.9</v>
      </c>
      <c r="Q172" s="104">
        <v>3.8</v>
      </c>
      <c r="R172" s="25"/>
      <c r="S172" s="104">
        <v>3</v>
      </c>
      <c r="T172" s="104">
        <v>4.5</v>
      </c>
      <c r="U172" s="104">
        <f t="shared" si="438"/>
        <v>3.5500000000000003</v>
      </c>
      <c r="V172" s="104">
        <f t="shared" si="439"/>
        <v>3.7125000000000004</v>
      </c>
      <c r="W172" s="105"/>
      <c r="X172" s="104">
        <f t="shared" si="440"/>
        <v>3.6906250000000003</v>
      </c>
      <c r="Y172" s="104">
        <f t="shared" si="441"/>
        <v>3.8632812500000004</v>
      </c>
      <c r="Z172" s="104">
        <f t="shared" si="442"/>
        <v>3.7041015625000004</v>
      </c>
      <c r="AA172" s="104">
        <f t="shared" si="443"/>
        <v>3.7426269531250003</v>
      </c>
      <c r="AB172" s="20"/>
    </row>
    <row r="173" spans="2:28" outlineLevel="1" x14ac:dyDescent="0.25">
      <c r="B173" s="43" t="s">
        <v>76</v>
      </c>
      <c r="C173" s="32"/>
      <c r="D173" s="30"/>
      <c r="E173" s="30"/>
      <c r="F173" s="30"/>
      <c r="G173" s="30"/>
      <c r="H173" s="45"/>
      <c r="I173" s="155">
        <v>40.4</v>
      </c>
      <c r="J173" s="155">
        <v>40.700000000000003</v>
      </c>
      <c r="K173" s="155">
        <v>40.6</v>
      </c>
      <c r="L173" s="155">
        <v>38.9</v>
      </c>
      <c r="M173" s="25"/>
      <c r="N173" s="155">
        <v>39</v>
      </c>
      <c r="O173" s="155">
        <v>41.3</v>
      </c>
      <c r="P173" s="155">
        <v>41.8</v>
      </c>
      <c r="Q173" s="155">
        <v>41.6</v>
      </c>
      <c r="R173" s="25"/>
      <c r="S173" s="155">
        <v>43</v>
      </c>
      <c r="T173" s="155">
        <v>44.9</v>
      </c>
      <c r="U173" s="240">
        <v>46.438299971039477</v>
      </c>
      <c r="V173" s="240">
        <v>48.228853234119114</v>
      </c>
      <c r="W173" s="20"/>
      <c r="X173" s="240">
        <v>49.389585976234748</v>
      </c>
      <c r="Y173" s="240">
        <v>50.759033745390276</v>
      </c>
      <c r="Z173" s="240">
        <v>50.536337116965761</v>
      </c>
      <c r="AA173" s="240">
        <v>50.616202565007576</v>
      </c>
      <c r="AB173" s="20"/>
    </row>
    <row r="174" spans="2:28" outlineLevel="1" x14ac:dyDescent="0.25">
      <c r="B174" s="43" t="s">
        <v>77</v>
      </c>
      <c r="C174" s="32"/>
      <c r="D174" s="30"/>
      <c r="E174" s="30"/>
      <c r="F174" s="30"/>
      <c r="G174" s="30"/>
      <c r="H174" s="20"/>
      <c r="I174" s="104">
        <v>250.2</v>
      </c>
      <c r="J174" s="104">
        <v>229.2</v>
      </c>
      <c r="K174" s="104">
        <v>227</v>
      </c>
      <c r="L174" s="104">
        <v>282.5</v>
      </c>
      <c r="M174" s="25"/>
      <c r="N174" s="104">
        <v>278.89999999999998</v>
      </c>
      <c r="O174" s="104">
        <v>292.10000000000002</v>
      </c>
      <c r="P174" s="104">
        <v>305.10000000000002</v>
      </c>
      <c r="Q174" s="104">
        <v>328.6</v>
      </c>
      <c r="R174" s="25"/>
      <c r="S174" s="104">
        <v>333.9</v>
      </c>
      <c r="T174" s="104">
        <v>342.6</v>
      </c>
      <c r="U174" s="104">
        <f t="shared" ref="U174:U175" si="444">AVERAGE(T174,S174,Q174,P174)</f>
        <v>327.55</v>
      </c>
      <c r="V174" s="104">
        <f t="shared" si="439"/>
        <v>333.16250000000002</v>
      </c>
      <c r="W174" s="105"/>
      <c r="X174" s="104">
        <f t="shared" si="440"/>
        <v>334.30312500000002</v>
      </c>
      <c r="Y174" s="104">
        <f t="shared" ref="Y174:Y175" si="445">AVERAGE(X174,V174,U174,T174)</f>
        <v>334.40390624999998</v>
      </c>
      <c r="Z174" s="104">
        <f t="shared" ref="Z174:Z175" si="446">AVERAGE(Y174,X174,V174,U174)</f>
        <v>332.35488281250002</v>
      </c>
      <c r="AA174" s="104">
        <f t="shared" ref="AA174:AA175" si="447">AVERAGE(Z174,Y174,X174,V174)</f>
        <v>333.55610351562501</v>
      </c>
      <c r="AB174" s="20"/>
    </row>
    <row r="175" spans="2:28" ht="17.25" outlineLevel="1" x14ac:dyDescent="0.4">
      <c r="B175" s="43" t="s">
        <v>85</v>
      </c>
      <c r="C175" s="32"/>
      <c r="D175" s="30"/>
      <c r="E175" s="30"/>
      <c r="F175" s="30"/>
      <c r="G175" s="30"/>
      <c r="H175" s="20"/>
      <c r="I175" s="156">
        <v>0</v>
      </c>
      <c r="J175" s="156">
        <v>0</v>
      </c>
      <c r="K175" s="156">
        <v>102.3</v>
      </c>
      <c r="L175" s="156">
        <v>29.2</v>
      </c>
      <c r="M175" s="25"/>
      <c r="N175" s="156">
        <v>26</v>
      </c>
      <c r="O175" s="156">
        <v>105.3</v>
      </c>
      <c r="P175" s="156">
        <v>-1.5</v>
      </c>
      <c r="Q175" s="156">
        <v>6.2</v>
      </c>
      <c r="R175" s="25"/>
      <c r="S175" s="156">
        <v>13.9</v>
      </c>
      <c r="T175" s="156">
        <v>0.7</v>
      </c>
      <c r="U175" s="156">
        <f t="shared" si="444"/>
        <v>4.8250000000000002</v>
      </c>
      <c r="V175" s="156">
        <f t="shared" si="439"/>
        <v>6.40625</v>
      </c>
      <c r="W175" s="171"/>
      <c r="X175" s="156">
        <f t="shared" si="440"/>
        <v>6.4578124999999993</v>
      </c>
      <c r="Y175" s="156">
        <f t="shared" si="445"/>
        <v>4.5972656249999995</v>
      </c>
      <c r="Z175" s="156">
        <f t="shared" si="446"/>
        <v>5.5715820312499993</v>
      </c>
      <c r="AA175" s="156">
        <f t="shared" si="447"/>
        <v>5.7582275390624993</v>
      </c>
      <c r="AB175" s="20"/>
    </row>
    <row r="176" spans="2:28" outlineLevel="1" x14ac:dyDescent="0.25">
      <c r="B176" s="102" t="s">
        <v>137</v>
      </c>
      <c r="C176" s="35"/>
      <c r="D176" s="30"/>
      <c r="E176" s="30"/>
      <c r="F176" s="30"/>
      <c r="G176" s="30"/>
      <c r="H176" s="23"/>
      <c r="I176" s="106">
        <f t="shared" ref="I176" si="448">SUM(I170:I175)</f>
        <v>398.2</v>
      </c>
      <c r="J176" s="106">
        <f t="shared" ref="J176" si="449">SUM(J170:J175)</f>
        <v>369.9</v>
      </c>
      <c r="K176" s="106">
        <f t="shared" ref="K176" si="450">SUM(K170:K175)</f>
        <v>447.6</v>
      </c>
      <c r="L176" s="106">
        <f t="shared" ref="L176" si="451">SUM(L170:L175)</f>
        <v>440.59999999999997</v>
      </c>
      <c r="M176" s="159"/>
      <c r="N176" s="106">
        <f>SUM(N170:N175)</f>
        <v>436.7</v>
      </c>
      <c r="O176" s="106">
        <f t="shared" ref="O176" si="452">SUM(O170:O175)</f>
        <v>492.00000000000006</v>
      </c>
      <c r="P176" s="106">
        <f t="shared" ref="P176" si="453">SUM(P170:P175)</f>
        <v>392.9</v>
      </c>
      <c r="Q176" s="106">
        <f t="shared" ref="Q176" si="454">SUM(Q170:Q175)</f>
        <v>433.90000000000003</v>
      </c>
      <c r="R176" s="159"/>
      <c r="S176" s="106">
        <f t="shared" ref="S176" si="455">SUM(S170:S175)</f>
        <v>448.49999999999994</v>
      </c>
      <c r="T176" s="106">
        <f>SUM(T170:T175)</f>
        <v>456.00000000000006</v>
      </c>
      <c r="U176" s="106">
        <f t="shared" ref="U176" si="456">SUM(U170:U175)</f>
        <v>436.4382999710395</v>
      </c>
      <c r="V176" s="106">
        <f t="shared" ref="V176" si="457">SUM(V170:V175)</f>
        <v>447.95385323411915</v>
      </c>
      <c r="W176" s="20"/>
      <c r="X176" s="106">
        <f t="shared" ref="X176" si="458">SUM(X170:X175)</f>
        <v>450.97083597623475</v>
      </c>
      <c r="Y176" s="106">
        <f t="shared" ref="Y176" si="459">SUM(Y170:Y175)</f>
        <v>451.36059624539024</v>
      </c>
      <c r="Z176" s="106">
        <f t="shared" ref="Z176" si="460">SUM(Z170:Z175)</f>
        <v>448.51329024196576</v>
      </c>
      <c r="AA176" s="106">
        <f t="shared" ref="AA176" si="461">SUM(AA170:AA175)</f>
        <v>450.58739397125754</v>
      </c>
      <c r="AB176" s="23"/>
    </row>
    <row r="177" spans="1:28" outlineLevel="1" x14ac:dyDescent="0.25">
      <c r="B177" s="102" t="s">
        <v>138</v>
      </c>
      <c r="C177" s="93"/>
      <c r="D177" s="30"/>
      <c r="E177" s="30"/>
      <c r="F177" s="30"/>
      <c r="G177" s="30"/>
      <c r="H177" s="23"/>
      <c r="I177" s="157">
        <f t="shared" ref="I177:Q177" si="462">I164+I166+I168-I176</f>
        <v>-288.89999999999998</v>
      </c>
      <c r="J177" s="157">
        <f t="shared" si="462"/>
        <v>-294.59999999999997</v>
      </c>
      <c r="K177" s="157">
        <f t="shared" si="462"/>
        <v>-386.3</v>
      </c>
      <c r="L177" s="157">
        <f t="shared" si="462"/>
        <v>-375.09999999999997</v>
      </c>
      <c r="M177" s="159">
        <f t="shared" si="462"/>
        <v>0</v>
      </c>
      <c r="N177" s="157">
        <f t="shared" si="462"/>
        <v>-360.4</v>
      </c>
      <c r="O177" s="157">
        <f t="shared" si="462"/>
        <v>-456.50000000000006</v>
      </c>
      <c r="P177" s="157">
        <f t="shared" si="462"/>
        <v>-364.7</v>
      </c>
      <c r="Q177" s="157">
        <f t="shared" si="462"/>
        <v>-405.70000000000005</v>
      </c>
      <c r="R177" s="159"/>
      <c r="S177" s="157">
        <f>S164+S166+S168-S176</f>
        <v>-419.99999999999994</v>
      </c>
      <c r="T177" s="157">
        <f>T164+T166+T168-T176</f>
        <v>-419.20000000000005</v>
      </c>
      <c r="U177" s="157">
        <f t="shared" ref="U177:AA177" si="463">U164+U166+U168-U176</f>
        <v>-407.70232690355931</v>
      </c>
      <c r="V177" s="157">
        <f t="shared" si="463"/>
        <v>-418.28972947114653</v>
      </c>
      <c r="W177" s="169"/>
      <c r="X177" s="157">
        <f t="shared" si="463"/>
        <v>-421.09076796170064</v>
      </c>
      <c r="Y177" s="157">
        <f t="shared" si="463"/>
        <v>-411.54182537794429</v>
      </c>
      <c r="Z177" s="157">
        <f t="shared" si="463"/>
        <v>-418.72935109824198</v>
      </c>
      <c r="AA177" s="157">
        <f t="shared" si="463"/>
        <v>-419.48980838406959</v>
      </c>
      <c r="AB177" s="23"/>
    </row>
    <row r="178" spans="1:28" ht="18" x14ac:dyDescent="0.4">
      <c r="B178" s="245" t="s">
        <v>21</v>
      </c>
      <c r="C178" s="246"/>
      <c r="D178" s="28" t="s">
        <v>44</v>
      </c>
      <c r="E178" s="28" t="s">
        <v>45</v>
      </c>
      <c r="F178" s="28" t="s">
        <v>46</v>
      </c>
      <c r="G178" s="28" t="s">
        <v>47</v>
      </c>
      <c r="H178" s="75" t="s">
        <v>48</v>
      </c>
      <c r="I178" s="28" t="s">
        <v>37</v>
      </c>
      <c r="J178" s="28" t="s">
        <v>38</v>
      </c>
      <c r="K178" s="28" t="s">
        <v>39</v>
      </c>
      <c r="L178" s="28" t="s">
        <v>40</v>
      </c>
      <c r="M178" s="75" t="s">
        <v>41</v>
      </c>
      <c r="N178" s="28" t="s">
        <v>50</v>
      </c>
      <c r="O178" s="28" t="s">
        <v>51</v>
      </c>
      <c r="P178" s="28" t="s">
        <v>52</v>
      </c>
      <c r="Q178" s="28" t="s">
        <v>53</v>
      </c>
      <c r="R178" s="75" t="s">
        <v>54</v>
      </c>
      <c r="S178" s="28" t="s">
        <v>55</v>
      </c>
      <c r="T178" s="28" t="s">
        <v>182</v>
      </c>
      <c r="U178" s="26" t="s">
        <v>62</v>
      </c>
      <c r="V178" s="26" t="s">
        <v>63</v>
      </c>
      <c r="W178" s="77" t="s">
        <v>64</v>
      </c>
      <c r="X178" s="26" t="s">
        <v>65</v>
      </c>
      <c r="Y178" s="26" t="s">
        <v>66</v>
      </c>
      <c r="Z178" s="26" t="s">
        <v>67</v>
      </c>
      <c r="AA178" s="26" t="s">
        <v>68</v>
      </c>
      <c r="AB178" s="77" t="s">
        <v>69</v>
      </c>
    </row>
    <row r="179" spans="1:28" s="174" customFormat="1" ht="15.6" customHeight="1" outlineLevel="1" x14ac:dyDescent="0.25">
      <c r="B179" s="128" t="s">
        <v>146</v>
      </c>
      <c r="C179" s="175"/>
      <c r="D179" s="130"/>
      <c r="E179" s="130"/>
      <c r="F179" s="130"/>
      <c r="G179" s="130"/>
      <c r="H179" s="133"/>
      <c r="I179" s="130">
        <f>+I57+I90+I124+I164-I13</f>
        <v>0</v>
      </c>
      <c r="J179" s="130">
        <f>+J57+J90+J124+J164-J13</f>
        <v>0</v>
      </c>
      <c r="K179" s="130">
        <f>+K57+K90+K124+K164-K13</f>
        <v>0</v>
      </c>
      <c r="L179" s="130">
        <f>+L57+L90+L124+L164-L13</f>
        <v>0</v>
      </c>
      <c r="M179" s="133"/>
      <c r="N179" s="130">
        <f>+N57+N90+N124+N164-N13</f>
        <v>0</v>
      </c>
      <c r="O179" s="130">
        <f>+O57+O90+O124+O164-O13</f>
        <v>0</v>
      </c>
      <c r="P179" s="130">
        <f>+P57+P90+P124+P164-P13</f>
        <v>0</v>
      </c>
      <c r="Q179" s="130">
        <f>+Q57+Q90+Q124+Q164-Q13</f>
        <v>-3.999999999996362E-2</v>
      </c>
      <c r="R179" s="133"/>
      <c r="S179" s="130">
        <f>+S57+S90+S124+S164-S13</f>
        <v>0</v>
      </c>
      <c r="T179" s="130">
        <f>+T57+T90+T124+T164-T13</f>
        <v>0</v>
      </c>
      <c r="U179" s="130">
        <f>+U57+U90+U124+U164-U13</f>
        <v>0</v>
      </c>
      <c r="V179" s="130">
        <f>+V57+V90+V124+V164-V13</f>
        <v>0</v>
      </c>
      <c r="W179" s="133"/>
      <c r="X179" s="130">
        <f>+X57+X90+X124+X164-X13</f>
        <v>0</v>
      </c>
      <c r="Y179" s="130">
        <f>+Y57+Y90+Y124+Y164-Y13</f>
        <v>0</v>
      </c>
      <c r="Z179" s="130">
        <f>+Z57+Z90+Z124+Z164-Z13</f>
        <v>0</v>
      </c>
      <c r="AA179" s="130">
        <f>+AA57+AA90+AA124+AA164-AA13</f>
        <v>0</v>
      </c>
      <c r="AB179" s="133"/>
    </row>
    <row r="180" spans="1:28" s="174" customFormat="1" ht="15.6" customHeight="1" outlineLevel="1" x14ac:dyDescent="0.25">
      <c r="B180" s="128" t="s">
        <v>147</v>
      </c>
      <c r="C180" s="175"/>
      <c r="D180" s="130"/>
      <c r="E180" s="130"/>
      <c r="F180" s="130"/>
      <c r="G180" s="130"/>
      <c r="H180" s="133"/>
      <c r="I180" s="130">
        <f>+I64+I97+I131+I166-I14</f>
        <v>0</v>
      </c>
      <c r="J180" s="130">
        <f>+J64+J97+J131+J166-J14</f>
        <v>0</v>
      </c>
      <c r="K180" s="130">
        <f>+K64+K97+K131+K166-K14</f>
        <v>0</v>
      </c>
      <c r="L180" s="130">
        <f>+L64+L97+L131+L166-L14</f>
        <v>0</v>
      </c>
      <c r="M180" s="133"/>
      <c r="N180" s="130">
        <f>+N64+N97+N131+N166-N14</f>
        <v>0</v>
      </c>
      <c r="O180" s="130">
        <f>+O64+O97+O131+O166-O14</f>
        <v>0</v>
      </c>
      <c r="P180" s="130">
        <f>+P64+P97+P131+P166-P14</f>
        <v>0</v>
      </c>
      <c r="Q180" s="130">
        <f>+Q64+Q97+Q131+Q166-Q14</f>
        <v>-9.9999999999909051E-3</v>
      </c>
      <c r="R180" s="133"/>
      <c r="S180" s="130">
        <f>+S64+S97+S131+S166-S14</f>
        <v>0</v>
      </c>
      <c r="T180" s="130">
        <f>+T64+T97+T131+T166-T14</f>
        <v>0</v>
      </c>
      <c r="U180" s="130">
        <f>+U64+U97+U131+U166-U14</f>
        <v>0</v>
      </c>
      <c r="V180" s="130">
        <f>+V64+V97+V131+V166-V14</f>
        <v>0</v>
      </c>
      <c r="W180" s="133"/>
      <c r="X180" s="130">
        <f>+X64+X97+X131+X166-X14</f>
        <v>0</v>
      </c>
      <c r="Y180" s="130">
        <f>+Y64+Y97+Y131+Y166-Y14</f>
        <v>0</v>
      </c>
      <c r="Z180" s="130">
        <f>+Z64+Z97+Z131+Z166-Z14</f>
        <v>0</v>
      </c>
      <c r="AA180" s="130">
        <f>+AA64+AA97+AA131+AA166-AA14</f>
        <v>0</v>
      </c>
      <c r="AB180" s="133"/>
    </row>
    <row r="181" spans="1:28" s="174" customFormat="1" ht="15.6" customHeight="1" outlineLevel="1" x14ac:dyDescent="0.25">
      <c r="B181" s="128" t="s">
        <v>148</v>
      </c>
      <c r="C181" s="175"/>
      <c r="D181" s="130"/>
      <c r="E181" s="130"/>
      <c r="F181" s="130"/>
      <c r="G181" s="130"/>
      <c r="H181" s="133"/>
      <c r="I181" s="130">
        <f>+I65+I98+I132+I149+I168-I15</f>
        <v>0</v>
      </c>
      <c r="J181" s="130">
        <f>+J65+J98+J132+J149+J168-J15</f>
        <v>0</v>
      </c>
      <c r="K181" s="130">
        <f>+K65+K98+K132+K149+K168-K15</f>
        <v>0</v>
      </c>
      <c r="L181" s="130">
        <f>+L65+L98+L132+L149+L168-L15</f>
        <v>0</v>
      </c>
      <c r="M181" s="133"/>
      <c r="N181" s="130">
        <f>+N65+N98+N132+N149+N168-N15</f>
        <v>0</v>
      </c>
      <c r="O181" s="130">
        <f>+O65+O98+O132+O149+O168-O15</f>
        <v>0</v>
      </c>
      <c r="P181" s="130">
        <f>+P65+P98+P132+P149+P168-P15</f>
        <v>0</v>
      </c>
      <c r="Q181" s="130">
        <f>+Q65+Q98+Q132+Q149+Q168-Q15</f>
        <v>0</v>
      </c>
      <c r="R181" s="133"/>
      <c r="S181" s="130">
        <f>+S65+S98+S132+S149+S168-S15</f>
        <v>0</v>
      </c>
      <c r="T181" s="130">
        <f>+T65+T98+T132+T149+T168-T15</f>
        <v>0</v>
      </c>
      <c r="U181" s="130">
        <f>+U65+U98+U132+U149+U168-U15</f>
        <v>0</v>
      </c>
      <c r="V181" s="130">
        <f>+V65+V98+V132+V149+V168-V15</f>
        <v>0</v>
      </c>
      <c r="W181" s="133"/>
      <c r="X181" s="130">
        <f>+X65+X98+X132+X149+X168-X15</f>
        <v>0</v>
      </c>
      <c r="Y181" s="130">
        <f>+Y65+Y98+Y132+Y149+Y168-Y15</f>
        <v>0</v>
      </c>
      <c r="Z181" s="130">
        <f>+Z65+Z98+Z132+Z149+Z168-Z15</f>
        <v>0</v>
      </c>
      <c r="AA181" s="130">
        <f>+AA65+AA98+AA132+AA149+AA168-AA15</f>
        <v>0</v>
      </c>
      <c r="AB181" s="133"/>
    </row>
    <row r="182" spans="1:28" s="174" customFormat="1" ht="15.6" customHeight="1" outlineLevel="1" x14ac:dyDescent="0.25">
      <c r="B182" s="128" t="s">
        <v>78</v>
      </c>
      <c r="C182" s="175"/>
      <c r="D182" s="130"/>
      <c r="E182" s="130"/>
      <c r="F182" s="130"/>
      <c r="G182" s="130"/>
      <c r="H182" s="133"/>
      <c r="I182" s="130">
        <f>+I158+I110-I25</f>
        <v>0</v>
      </c>
      <c r="J182" s="130">
        <f>+J158+J110-J25</f>
        <v>0</v>
      </c>
      <c r="K182" s="130">
        <f>+K158+K110-K25</f>
        <v>0</v>
      </c>
      <c r="L182" s="130">
        <f>+L158+L110-L25</f>
        <v>0</v>
      </c>
      <c r="M182" s="133"/>
      <c r="N182" s="130">
        <f>+N158+N110-N25</f>
        <v>0</v>
      </c>
      <c r="O182" s="130">
        <f>+O158+O110-O25</f>
        <v>0</v>
      </c>
      <c r="P182" s="130">
        <f>+P158+P110-P25</f>
        <v>0</v>
      </c>
      <c r="Q182" s="130">
        <f>+Q158+Q110-Q25</f>
        <v>0</v>
      </c>
      <c r="R182" s="133"/>
      <c r="S182" s="130">
        <f>+S158+S110-S25</f>
        <v>0</v>
      </c>
      <c r="T182" s="130">
        <f>+T158+T110-T25</f>
        <v>0</v>
      </c>
      <c r="U182" s="130">
        <f>+U158+U110-U25</f>
        <v>0</v>
      </c>
      <c r="V182" s="130">
        <f>+V158+V110-V25</f>
        <v>0</v>
      </c>
      <c r="W182" s="133"/>
      <c r="X182" s="130">
        <f>+X158+X110-X25</f>
        <v>0</v>
      </c>
      <c r="Y182" s="130">
        <f>+Y158+Y110-Y25</f>
        <v>0</v>
      </c>
      <c r="Z182" s="130">
        <f>+Z158+Z110-Z25</f>
        <v>0</v>
      </c>
      <c r="AA182" s="130">
        <f>+AA158+AA110-AA25</f>
        <v>0</v>
      </c>
      <c r="AB182" s="133"/>
    </row>
    <row r="183" spans="1:28" s="174" customFormat="1" ht="15.6" customHeight="1" outlineLevel="1" x14ac:dyDescent="0.25">
      <c r="B183" s="128" t="s">
        <v>149</v>
      </c>
      <c r="C183" s="175"/>
      <c r="D183" s="130"/>
      <c r="E183" s="130"/>
      <c r="F183" s="130"/>
      <c r="G183" s="130"/>
      <c r="H183" s="133"/>
      <c r="I183" s="130">
        <f>+I77+I111+I144+I159+I177-I26</f>
        <v>0</v>
      </c>
      <c r="J183" s="130">
        <f>+J77+J111+J144+J159+J177-J26</f>
        <v>0</v>
      </c>
      <c r="K183" s="130">
        <f>+K77+K111+K144+K159+K177-K26</f>
        <v>0</v>
      </c>
      <c r="L183" s="130">
        <f>+L77+L111+L144+L159+L177-L26</f>
        <v>0</v>
      </c>
      <c r="M183" s="133"/>
      <c r="N183" s="130">
        <f>+N77+N111+N144+N159+N177-N26</f>
        <v>0</v>
      </c>
      <c r="O183" s="130">
        <f>+O77+O111+O144+O159+O177-O26</f>
        <v>-9.0949470177292824E-13</v>
      </c>
      <c r="P183" s="130">
        <f>+P77+P111+P144+P159+P177-P26</f>
        <v>0</v>
      </c>
      <c r="Q183" s="130">
        <f>+Q77+Q111+Q144+Q159+Q177-Q26</f>
        <v>-5.0000000000636646E-2</v>
      </c>
      <c r="R183" s="133"/>
      <c r="S183" s="130">
        <f>+S77+S111+S144+S159+S177-S26</f>
        <v>-1.3642420526593924E-12</v>
      </c>
      <c r="T183" s="130">
        <f>+T77+T111+T144+T159+T177-T26</f>
        <v>0</v>
      </c>
      <c r="U183" s="130">
        <f>+U77+U111+U144+U159+U177-U26</f>
        <v>0</v>
      </c>
      <c r="V183" s="130">
        <f>+V77+V111+V144+V159+V177-V26</f>
        <v>0</v>
      </c>
      <c r="W183" s="133"/>
      <c r="X183" s="130">
        <f>+X77+X111+X144+X159+X177-X26</f>
        <v>0</v>
      </c>
      <c r="Y183" s="130">
        <f>+Y77+Y111+Y144+Y159+Y177-Y26</f>
        <v>0</v>
      </c>
      <c r="Z183" s="130">
        <f>+Z77+Z111+Z144+Z159+Z177-Z26</f>
        <v>0</v>
      </c>
      <c r="AA183" s="130">
        <f>+AA77+AA111+AA144+AA159+AA177-AA26</f>
        <v>0</v>
      </c>
      <c r="AB183" s="133"/>
    </row>
    <row r="184" spans="1:28" ht="15" customHeight="1" x14ac:dyDescent="0.4">
      <c r="B184" s="245" t="s">
        <v>15</v>
      </c>
      <c r="C184" s="246"/>
      <c r="D184" s="28" t="s">
        <v>44</v>
      </c>
      <c r="E184" s="28" t="s">
        <v>45</v>
      </c>
      <c r="F184" s="28" t="s">
        <v>46</v>
      </c>
      <c r="G184" s="28" t="s">
        <v>47</v>
      </c>
      <c r="H184" s="75" t="s">
        <v>48</v>
      </c>
      <c r="I184" s="28" t="s">
        <v>37</v>
      </c>
      <c r="J184" s="28" t="s">
        <v>38</v>
      </c>
      <c r="K184" s="28" t="s">
        <v>39</v>
      </c>
      <c r="L184" s="28" t="s">
        <v>40</v>
      </c>
      <c r="M184" s="75" t="s">
        <v>41</v>
      </c>
      <c r="N184" s="28" t="s">
        <v>50</v>
      </c>
      <c r="O184" s="28" t="s">
        <v>51</v>
      </c>
      <c r="P184" s="28" t="s">
        <v>52</v>
      </c>
      <c r="Q184" s="28" t="s">
        <v>53</v>
      </c>
      <c r="R184" s="75" t="s">
        <v>54</v>
      </c>
      <c r="S184" s="28" t="s">
        <v>55</v>
      </c>
      <c r="T184" s="28" t="s">
        <v>182</v>
      </c>
      <c r="U184" s="26" t="s">
        <v>62</v>
      </c>
      <c r="V184" s="26" t="s">
        <v>63</v>
      </c>
      <c r="W184" s="77" t="s">
        <v>64</v>
      </c>
      <c r="X184" s="26" t="s">
        <v>65</v>
      </c>
      <c r="Y184" s="26" t="s">
        <v>66</v>
      </c>
      <c r="Z184" s="26" t="s">
        <v>67</v>
      </c>
      <c r="AA184" s="26" t="s">
        <v>68</v>
      </c>
      <c r="AB184" s="77" t="s">
        <v>69</v>
      </c>
    </row>
    <row r="185" spans="1:28" s="39" customFormat="1" outlineLevel="1" x14ac:dyDescent="0.25">
      <c r="B185" s="247" t="s">
        <v>34</v>
      </c>
      <c r="C185" s="248"/>
      <c r="D185" s="50"/>
      <c r="E185" s="50"/>
      <c r="F185" s="50"/>
      <c r="G185" s="50"/>
      <c r="H185" s="48"/>
      <c r="I185" s="50">
        <f>I16/D16-1</f>
        <v>6.6883781520423957E-2</v>
      </c>
      <c r="J185" s="50">
        <f t="shared" ref="J185:AB185" si="464">J16/E16-1</f>
        <v>6.0241929023471696E-2</v>
      </c>
      <c r="K185" s="50">
        <f t="shared" si="464"/>
        <v>8.0851470026727768E-2</v>
      </c>
      <c r="L185" s="50">
        <f t="shared" si="464"/>
        <v>-2.2587197086425537E-3</v>
      </c>
      <c r="M185" s="48">
        <f t="shared" si="464"/>
        <v>5.0234801251647809E-2</v>
      </c>
      <c r="N185" s="50">
        <f t="shared" si="464"/>
        <v>5.9446353503462612E-2</v>
      </c>
      <c r="O185" s="50">
        <f t="shared" si="464"/>
        <v>0.1393653192293165</v>
      </c>
      <c r="P185" s="50">
        <f t="shared" si="464"/>
        <v>0.11459860461008575</v>
      </c>
      <c r="Q185" s="50">
        <f t="shared" si="464"/>
        <v>0.10623343804292507</v>
      </c>
      <c r="R185" s="49">
        <f>R16/M16-1</f>
        <v>0.10420249523154368</v>
      </c>
      <c r="S185" s="50">
        <f>S16/N16-1</f>
        <v>9.203615588521008E-2</v>
      </c>
      <c r="T185" s="50">
        <f t="shared" si="464"/>
        <v>4.5442488146158588E-2</v>
      </c>
      <c r="U185" s="50">
        <f t="shared" si="464"/>
        <v>6.2612076347096313E-2</v>
      </c>
      <c r="V185" s="50">
        <f t="shared" si="464"/>
        <v>7.3035002942055671E-2</v>
      </c>
      <c r="W185" s="203">
        <f t="shared" si="464"/>
        <v>6.8310099199972996E-2</v>
      </c>
      <c r="X185" s="50">
        <f t="shared" si="464"/>
        <v>7.1059229246108968E-2</v>
      </c>
      <c r="Y185" s="50">
        <f t="shared" si="464"/>
        <v>8.825977383431538E-2</v>
      </c>
      <c r="Z185" s="50">
        <f t="shared" si="464"/>
        <v>9.1264801526560912E-2</v>
      </c>
      <c r="AA185" s="50">
        <f t="shared" si="464"/>
        <v>9.2151203185812047E-2</v>
      </c>
      <c r="AB185" s="48">
        <f t="shared" si="464"/>
        <v>8.5699403247855965E-2</v>
      </c>
    </row>
    <row r="186" spans="1:28" s="39" customFormat="1" outlineLevel="1" x14ac:dyDescent="0.25">
      <c r="B186" s="247" t="s">
        <v>4</v>
      </c>
      <c r="C186" s="248"/>
      <c r="D186" s="47">
        <f t="shared" ref="D186:AB186" si="465">D26/D16</f>
        <v>0.19689215595049786</v>
      </c>
      <c r="E186" s="47">
        <f t="shared" si="465"/>
        <v>0.17307538252022742</v>
      </c>
      <c r="F186" s="47">
        <f t="shared" si="465"/>
        <v>0.19516991218022131</v>
      </c>
      <c r="G186" s="47">
        <f t="shared" si="465"/>
        <v>0.21491105196806271</v>
      </c>
      <c r="H186" s="49">
        <f t="shared" si="465"/>
        <v>0.1957177505993179</v>
      </c>
      <c r="I186" s="47">
        <f t="shared" si="465"/>
        <v>0.19756144359748121</v>
      </c>
      <c r="J186" s="47">
        <f t="shared" si="465"/>
        <v>0.17669059312429156</v>
      </c>
      <c r="K186" s="47">
        <f t="shared" si="465"/>
        <v>0.18443875298065895</v>
      </c>
      <c r="L186" s="47">
        <f t="shared" si="465"/>
        <v>0.17943948195075715</v>
      </c>
      <c r="M186" s="49">
        <f t="shared" si="465"/>
        <v>0.18469448377831474</v>
      </c>
      <c r="N186" s="47">
        <f>N26/N16</f>
        <v>0.18375948762698191</v>
      </c>
      <c r="O186" s="47">
        <f t="shared" si="465"/>
        <v>0.12807122252064063</v>
      </c>
      <c r="P186" s="47">
        <f t="shared" si="465"/>
        <v>0.16452466602221769</v>
      </c>
      <c r="Q186" s="47">
        <f t="shared" si="465"/>
        <v>0.15176128116250107</v>
      </c>
      <c r="R186" s="49">
        <f t="shared" si="465"/>
        <v>0.15710098727924784</v>
      </c>
      <c r="S186" s="47">
        <f t="shared" si="465"/>
        <v>0.15313522396610751</v>
      </c>
      <c r="T186" s="47">
        <f t="shared" si="465"/>
        <v>0.13601547756862614</v>
      </c>
      <c r="U186" s="47">
        <f t="shared" si="465"/>
        <v>0.15640313055047192</v>
      </c>
      <c r="V186" s="47">
        <f t="shared" si="465"/>
        <v>0.15538195187437751</v>
      </c>
      <c r="W186" s="49">
        <f t="shared" si="465"/>
        <v>0.15045248647379345</v>
      </c>
      <c r="X186" s="47">
        <f t="shared" si="465"/>
        <v>0.15949433148755268</v>
      </c>
      <c r="Y186" s="47">
        <f t="shared" si="465"/>
        <v>0.14711674009013989</v>
      </c>
      <c r="Z186" s="47">
        <f t="shared" si="465"/>
        <v>0.16459815400416436</v>
      </c>
      <c r="AA186" s="47">
        <f t="shared" si="465"/>
        <v>0.16656615617085072</v>
      </c>
      <c r="AB186" s="49">
        <f t="shared" si="465"/>
        <v>0.15965644223883688</v>
      </c>
    </row>
    <row r="187" spans="1:28" s="39" customFormat="1" outlineLevel="1" x14ac:dyDescent="0.25">
      <c r="B187" s="247" t="s">
        <v>176</v>
      </c>
      <c r="C187" s="248"/>
      <c r="D187" s="47">
        <f t="shared" ref="D187:AB187" si="466">+D28/D16</f>
        <v>0.19918116683725695</v>
      </c>
      <c r="E187" s="47">
        <f t="shared" si="466"/>
        <v>0.17585916846911789</v>
      </c>
      <c r="F187" s="47">
        <f t="shared" si="466"/>
        <v>0.1984726995036272</v>
      </c>
      <c r="G187" s="47">
        <f t="shared" si="466"/>
        <v>0.19379464911051963</v>
      </c>
      <c r="H187" s="49">
        <f t="shared" si="466"/>
        <v>0.19210073231719046</v>
      </c>
      <c r="I187" s="47">
        <f t="shared" si="466"/>
        <v>0.20000348863576897</v>
      </c>
      <c r="J187" s="47">
        <f t="shared" si="466"/>
        <v>0.1792973177181714</v>
      </c>
      <c r="K187" s="47">
        <f t="shared" si="466"/>
        <v>0.20814271836085857</v>
      </c>
      <c r="L187" s="47">
        <f t="shared" si="466"/>
        <v>0.19976133232718521</v>
      </c>
      <c r="M187" s="49">
        <f t="shared" si="466"/>
        <v>0.19710363742757972</v>
      </c>
      <c r="N187" s="47">
        <f t="shared" si="466"/>
        <v>0.19222220392841266</v>
      </c>
      <c r="O187" s="47">
        <f t="shared" si="466"/>
        <v>0.16199144533969964</v>
      </c>
      <c r="P187" s="47">
        <f t="shared" si="466"/>
        <v>0.18539530608687388</v>
      </c>
      <c r="Q187" s="47">
        <f t="shared" si="466"/>
        <v>0.18134731465103551</v>
      </c>
      <c r="R187" s="49">
        <f t="shared" si="466"/>
        <v>0.18032965943821577</v>
      </c>
      <c r="S187" s="47">
        <f t="shared" si="466"/>
        <v>0.17394123056975308</v>
      </c>
      <c r="T187" s="47">
        <f t="shared" si="466"/>
        <v>0.15843892227913536</v>
      </c>
      <c r="U187" s="47">
        <f t="shared" si="466"/>
        <v>0.17418244520779361</v>
      </c>
      <c r="V187" s="47">
        <f t="shared" si="466"/>
        <v>0.17592719260509421</v>
      </c>
      <c r="W187" s="49">
        <f t="shared" si="466"/>
        <v>0.17080940215283144</v>
      </c>
      <c r="X187" s="47">
        <f t="shared" si="466"/>
        <v>0.17850444937500251</v>
      </c>
      <c r="Y187" s="47">
        <f t="shared" si="466"/>
        <v>0.16402312478491857</v>
      </c>
      <c r="Z187" s="47">
        <f t="shared" si="466"/>
        <v>0.18343355270254122</v>
      </c>
      <c r="AA187" s="47">
        <f t="shared" si="466"/>
        <v>0.18578522904989778</v>
      </c>
      <c r="AB187" s="49">
        <f t="shared" si="466"/>
        <v>0.17817227860770649</v>
      </c>
    </row>
    <row r="188" spans="1:28" s="39" customFormat="1" outlineLevel="1" x14ac:dyDescent="0.25">
      <c r="B188" s="247" t="s">
        <v>2</v>
      </c>
      <c r="C188" s="248"/>
      <c r="D188" s="47">
        <f t="shared" ref="D188:S188" si="467">D33/D32</f>
        <v>0.34479801829268281</v>
      </c>
      <c r="E188" s="47">
        <f t="shared" si="467"/>
        <v>0.33170618317061845</v>
      </c>
      <c r="F188" s="47">
        <f t="shared" si="467"/>
        <v>0.29709334823923994</v>
      </c>
      <c r="G188" s="47">
        <f t="shared" si="467"/>
        <v>0.34027320605661632</v>
      </c>
      <c r="H188" s="49">
        <f t="shared" si="467"/>
        <v>0.32860953651217067</v>
      </c>
      <c r="I188" s="47">
        <f t="shared" si="467"/>
        <v>0.3366581339924089</v>
      </c>
      <c r="J188" s="47">
        <f t="shared" si="467"/>
        <v>0.33414932680538584</v>
      </c>
      <c r="K188" s="47">
        <f t="shared" si="467"/>
        <v>0.34312048650703131</v>
      </c>
      <c r="L188" s="47">
        <f t="shared" si="467"/>
        <v>0.31472477860739728</v>
      </c>
      <c r="M188" s="49">
        <f t="shared" si="467"/>
        <v>0.33181239143022589</v>
      </c>
      <c r="N188" s="47">
        <f t="shared" si="467"/>
        <v>0.2514388369539905</v>
      </c>
      <c r="O188" s="47">
        <f t="shared" si="467"/>
        <v>0.19102501226091217</v>
      </c>
      <c r="P188" s="47">
        <f t="shared" si="467"/>
        <v>0.17023763147643162</v>
      </c>
      <c r="Q188" s="47">
        <f t="shared" si="467"/>
        <v>0.18833503246230618</v>
      </c>
      <c r="R188" s="49">
        <f t="shared" si="467"/>
        <v>0.21831613366435113</v>
      </c>
      <c r="S188" s="47">
        <f t="shared" si="467"/>
        <v>0.2124287933713099</v>
      </c>
      <c r="T188" s="47">
        <f t="shared" ref="T188" si="468">T33/T32</f>
        <v>0.1965853658536586</v>
      </c>
      <c r="U188" s="54">
        <v>0.21</v>
      </c>
      <c r="V188" s="54">
        <v>0.22</v>
      </c>
      <c r="W188" s="203">
        <f>W33/W32</f>
        <v>0.21029787437811095</v>
      </c>
      <c r="X188" s="54">
        <f>AVERAGE(V188,U188,T188,S188)</f>
        <v>0.20975353980624215</v>
      </c>
      <c r="Y188" s="54">
        <f>AVERAGE(X188,V188,U188,T188)</f>
        <v>0.20908472641497519</v>
      </c>
      <c r="Z188" s="54">
        <f>AVERAGE(Y188,X188,V188,U188)</f>
        <v>0.21220956655530432</v>
      </c>
      <c r="AA188" s="54">
        <f>AVERAGE(Z188,Y188,X188,V188)</f>
        <v>0.21276195819413041</v>
      </c>
      <c r="AB188" s="49">
        <f>AB33/AB32</f>
        <v>0.21106633081203591</v>
      </c>
    </row>
    <row r="189" spans="1:28" ht="18" x14ac:dyDescent="0.4">
      <c r="A189" s="213"/>
      <c r="B189" s="245" t="s">
        <v>175</v>
      </c>
      <c r="C189" s="246"/>
      <c r="D189" s="28" t="s">
        <v>44</v>
      </c>
      <c r="E189" s="28" t="s">
        <v>45</v>
      </c>
      <c r="F189" s="28" t="s">
        <v>46</v>
      </c>
      <c r="G189" s="28" t="s">
        <v>47</v>
      </c>
      <c r="H189" s="75" t="s">
        <v>48</v>
      </c>
      <c r="I189" s="28" t="s">
        <v>37</v>
      </c>
      <c r="J189" s="28" t="s">
        <v>38</v>
      </c>
      <c r="K189" s="28" t="s">
        <v>39</v>
      </c>
      <c r="L189" s="28" t="s">
        <v>40</v>
      </c>
      <c r="M189" s="75" t="s">
        <v>41</v>
      </c>
      <c r="N189" s="28" t="s">
        <v>50</v>
      </c>
      <c r="O189" s="28" t="s">
        <v>51</v>
      </c>
      <c r="P189" s="28" t="s">
        <v>52</v>
      </c>
      <c r="Q189" s="28" t="s">
        <v>53</v>
      </c>
      <c r="R189" s="75" t="s">
        <v>54</v>
      </c>
      <c r="S189" s="28" t="s">
        <v>55</v>
      </c>
      <c r="T189" s="28" t="s">
        <v>182</v>
      </c>
      <c r="U189" s="26" t="s">
        <v>62</v>
      </c>
      <c r="V189" s="26" t="s">
        <v>63</v>
      </c>
      <c r="W189" s="77" t="s">
        <v>64</v>
      </c>
      <c r="X189" s="26" t="s">
        <v>65</v>
      </c>
      <c r="Y189" s="26" t="s">
        <v>66</v>
      </c>
      <c r="Z189" s="26" t="s">
        <v>67</v>
      </c>
      <c r="AA189" s="26" t="s">
        <v>68</v>
      </c>
      <c r="AB189" s="77" t="s">
        <v>69</v>
      </c>
    </row>
    <row r="190" spans="1:28" outlineLevel="1" x14ac:dyDescent="0.25">
      <c r="A190" s="213"/>
      <c r="B190" s="247" t="s">
        <v>11</v>
      </c>
      <c r="C190" s="248"/>
      <c r="D190" s="47"/>
      <c r="E190" s="47"/>
      <c r="F190" s="47"/>
      <c r="G190" s="47"/>
      <c r="H190" s="48"/>
      <c r="I190" s="47">
        <f>(I39+I194)/G39-1</f>
        <v>6.7093947835106249E-5</v>
      </c>
      <c r="J190" s="47">
        <f>(J39+J194)/I39-1</f>
        <v>4.8365605488851493E-3</v>
      </c>
      <c r="K190" s="47">
        <f>(K39+K194)/J39-1</f>
        <v>-1.4048086980456009E-3</v>
      </c>
      <c r="L190" s="47">
        <f>(L39+L194)/K39-1</f>
        <v>5.372266878707066E-3</v>
      </c>
      <c r="M190" s="48"/>
      <c r="N190" s="47">
        <f>(N39+N194)/L39-1</f>
        <v>6.3082508211103061E-3</v>
      </c>
      <c r="O190" s="47">
        <f>(O39+O194)/N39-1</f>
        <v>9.3507741027454294E-4</v>
      </c>
      <c r="P190" s="47">
        <f>(P39+P194)/O39-1</f>
        <v>-5.0182808803522772E-4</v>
      </c>
      <c r="Q190" s="47">
        <f>(Q39+Q194)/P39-1</f>
        <v>-3.9407933531539152E-2</v>
      </c>
      <c r="R190" s="24"/>
      <c r="S190" s="47">
        <f>(S39+S194)/Q39-1</f>
        <v>3.9264665258121889E-2</v>
      </c>
      <c r="T190" s="47">
        <f>(T39+T194)/S39-1</f>
        <v>2.7823908212560422E-2</v>
      </c>
      <c r="U190" s="55">
        <v>2E-3</v>
      </c>
      <c r="V190" s="55">
        <v>2E-3</v>
      </c>
      <c r="W190" s="24"/>
      <c r="X190" s="55">
        <v>2E-3</v>
      </c>
      <c r="Y190" s="55">
        <v>2E-3</v>
      </c>
      <c r="Z190" s="55">
        <f t="shared" ref="Z190:Z191" si="469">AVERAGE(U190,V190,X190,Y190)</f>
        <v>2E-3</v>
      </c>
      <c r="AA190" s="55">
        <f t="shared" ref="AA190:AA191" si="470">AVERAGE(V190,X190,Y190,Z190)</f>
        <v>2E-3</v>
      </c>
      <c r="AB190" s="24"/>
    </row>
    <row r="191" spans="1:28" outlineLevel="1" x14ac:dyDescent="0.25">
      <c r="A191" s="213"/>
      <c r="B191" s="247" t="s">
        <v>12</v>
      </c>
      <c r="C191" s="248"/>
      <c r="D191" s="47"/>
      <c r="E191" s="47"/>
      <c r="F191" s="47"/>
      <c r="G191" s="47"/>
      <c r="H191" s="48"/>
      <c r="I191" s="47">
        <f>(I40+I194)/G40-1</f>
        <v>-9.1444645592464457E-4</v>
      </c>
      <c r="J191" s="47">
        <f>(J40+J194)/I40-1</f>
        <v>3.8417456647399373E-3</v>
      </c>
      <c r="K191" s="47">
        <f>(K40+K194)/J40-1</f>
        <v>-1.3254150737300741E-3</v>
      </c>
      <c r="L191" s="47">
        <f>(L40+L194)/K40-1</f>
        <v>4.7207873098533693E-3</v>
      </c>
      <c r="M191" s="48"/>
      <c r="N191" s="47">
        <f>(N40+N194)/L40-1</f>
        <v>8.1823608048510188E-3</v>
      </c>
      <c r="O191" s="47">
        <f>(O40+O194)/N40-1</f>
        <v>-3.981981040012128E-4</v>
      </c>
      <c r="P191" s="47">
        <f>(P40+P194)/O40-1</f>
        <v>-7.1093416749612448E-4</v>
      </c>
      <c r="Q191" s="47">
        <f>(Q40+Q194)/P40-1</f>
        <v>1.3472308246309073E-2</v>
      </c>
      <c r="R191" s="24"/>
      <c r="S191" s="47">
        <f>(S40+S194)/Q40-1</f>
        <v>-1.7299374212204399E-2</v>
      </c>
      <c r="T191" s="47">
        <f>(T40+T194)/S40-1</f>
        <v>2.76506254986435E-2</v>
      </c>
      <c r="U191" s="55">
        <v>2E-3</v>
      </c>
      <c r="V191" s="55">
        <v>2E-3</v>
      </c>
      <c r="W191" s="24"/>
      <c r="X191" s="55">
        <v>2E-3</v>
      </c>
      <c r="Y191" s="55">
        <v>2E-3</v>
      </c>
      <c r="Z191" s="55">
        <f t="shared" si="469"/>
        <v>2E-3</v>
      </c>
      <c r="AA191" s="55">
        <f t="shared" si="470"/>
        <v>2E-3</v>
      </c>
      <c r="AB191" s="24"/>
    </row>
    <row r="192" spans="1:28" outlineLevel="1" x14ac:dyDescent="0.25">
      <c r="A192" s="213"/>
      <c r="B192" s="247" t="s">
        <v>5</v>
      </c>
      <c r="C192" s="248"/>
      <c r="D192" s="56"/>
      <c r="E192" s="56"/>
      <c r="F192" s="56"/>
      <c r="G192" s="56"/>
      <c r="H192" s="59"/>
      <c r="I192" s="56">
        <v>54.18</v>
      </c>
      <c r="J192" s="56">
        <v>55.72</v>
      </c>
      <c r="K192" s="56">
        <v>60.11</v>
      </c>
      <c r="L192" s="56">
        <v>54.76</v>
      </c>
      <c r="M192" s="59"/>
      <c r="N192" s="56">
        <v>56.83</v>
      </c>
      <c r="O192" s="56">
        <v>56.63</v>
      </c>
      <c r="P192" s="56">
        <v>54.97</v>
      </c>
      <c r="Q192" s="56">
        <v>52.96</v>
      </c>
      <c r="R192" s="59"/>
      <c r="S192" s="56">
        <v>55.58</v>
      </c>
      <c r="T192" s="232">
        <v>70.489999999999995</v>
      </c>
      <c r="U192" s="58">
        <v>82</v>
      </c>
      <c r="V192" s="58">
        <v>85</v>
      </c>
      <c r="W192" s="57"/>
      <c r="X192" s="58">
        <f>+V192</f>
        <v>85</v>
      </c>
      <c r="Y192" s="58">
        <f>+X192</f>
        <v>85</v>
      </c>
      <c r="Z192" s="58">
        <f>+Y192</f>
        <v>85</v>
      </c>
      <c r="AA192" s="58">
        <f>+Z192</f>
        <v>85</v>
      </c>
      <c r="AB192" s="57"/>
    </row>
    <row r="193" spans="1:28" outlineLevel="1" x14ac:dyDescent="0.25">
      <c r="A193" s="213"/>
      <c r="B193" s="247" t="s">
        <v>6</v>
      </c>
      <c r="C193" s="248"/>
      <c r="D193" s="30"/>
      <c r="E193" s="30"/>
      <c r="F193" s="30"/>
      <c r="G193" s="30"/>
      <c r="H193" s="31"/>
      <c r="I193" s="30">
        <v>413.65422252000002</v>
      </c>
      <c r="J193" s="30">
        <v>632.38227164</v>
      </c>
      <c r="K193" s="30">
        <v>207.89235851999996</v>
      </c>
      <c r="L193" s="30">
        <v>826.30195091999997</v>
      </c>
      <c r="M193" s="31">
        <f>SUM(I193:L193)</f>
        <v>2080.2308035999999</v>
      </c>
      <c r="N193" s="30">
        <v>1618.1911728599998</v>
      </c>
      <c r="O193" s="30">
        <v>1553.2898293499995</v>
      </c>
      <c r="P193" s="30">
        <v>939.98700000000008</v>
      </c>
      <c r="Q193" s="30">
        <v>3098.4936479999997</v>
      </c>
      <c r="R193" s="31">
        <f>SUM(N193:Q193)</f>
        <v>7209.9616502099989</v>
      </c>
      <c r="S193" s="30">
        <f>71.968334*55.58</f>
        <v>4000.0000037199998</v>
      </c>
      <c r="T193" s="216">
        <f>70.49*37.357294</f>
        <v>2633.3156540599998</v>
      </c>
      <c r="U193" s="53">
        <v>1700</v>
      </c>
      <c r="V193" s="53">
        <v>900</v>
      </c>
      <c r="W193" s="31">
        <f>+SUM(S193:V193)</f>
        <v>9233.31565778</v>
      </c>
      <c r="X193" s="53">
        <v>500</v>
      </c>
      <c r="Y193" s="53">
        <v>500</v>
      </c>
      <c r="Z193" s="53">
        <v>500</v>
      </c>
      <c r="AA193" s="53">
        <v>500</v>
      </c>
      <c r="AB193" s="31">
        <f>+SUM(X193:AA193)</f>
        <v>2000</v>
      </c>
    </row>
    <row r="194" spans="1:28" outlineLevel="1" x14ac:dyDescent="0.25">
      <c r="A194" s="213"/>
      <c r="B194" s="269" t="s">
        <v>16</v>
      </c>
      <c r="C194" s="270"/>
      <c r="D194" s="60"/>
      <c r="E194" s="60"/>
      <c r="F194" s="60"/>
      <c r="G194" s="60"/>
      <c r="H194" s="95"/>
      <c r="I194" s="60">
        <f>IF((I193)&gt;0,(I193/I192),0)</f>
        <v>7.6348140000000004</v>
      </c>
      <c r="J194" s="60">
        <f>IF((J193)&gt;0,(J193/J192),0)</f>
        <v>11.349287</v>
      </c>
      <c r="K194" s="60">
        <f>IF((K193)&gt;0,(K193/K192),0)</f>
        <v>3.4585319999999995</v>
      </c>
      <c r="L194" s="60">
        <f>IF((L193)&gt;0,(L193/L192),0)</f>
        <v>15.089517000000001</v>
      </c>
      <c r="M194" s="95">
        <f>+SUM(I194:L194)</f>
        <v>37.532150000000001</v>
      </c>
      <c r="N194" s="60">
        <f>IF((N193)&gt;0,(N193/N192),0)</f>
        <v>28.474241999999997</v>
      </c>
      <c r="O194" s="60">
        <f>IF((O193)&gt;0,(O193/O192),0)</f>
        <v>27.428744999999992</v>
      </c>
      <c r="P194" s="60">
        <f>IF((P193)&gt;0,(P193/P192),0)</f>
        <v>17.100000000000001</v>
      </c>
      <c r="Q194" s="60">
        <f>IF((Q193)&gt;0,(Q193/Q192),0)</f>
        <v>58.506299999999996</v>
      </c>
      <c r="R194" s="95">
        <f>+SUM(N194:Q194)</f>
        <v>131.50928699999997</v>
      </c>
      <c r="S194" s="60">
        <f>IF((S193)&gt;0,(S193/S192),0)</f>
        <v>71.968333999999999</v>
      </c>
      <c r="T194" s="60">
        <f>IF((T193)&gt;0,(T193/T192),0)</f>
        <v>37.357294000000003</v>
      </c>
      <c r="U194" s="60">
        <f>IF((U193)&gt;0,(U193/U192),0)</f>
        <v>20.73170731707317</v>
      </c>
      <c r="V194" s="60">
        <f>IF((V193)&gt;0,(V193/V192),0)</f>
        <v>10.588235294117647</v>
      </c>
      <c r="W194" s="95">
        <f>+SUM(S194:V194)</f>
        <v>140.64557061119081</v>
      </c>
      <c r="X194" s="60">
        <f>IF((X193)&gt;0,(X193/X192),0)</f>
        <v>5.882352941176471</v>
      </c>
      <c r="Y194" s="60">
        <f>IF((Y193)&gt;0,(Y193/Y192),0)</f>
        <v>5.882352941176471</v>
      </c>
      <c r="Z194" s="60">
        <f>IF((Z193)&gt;0,(Z193/Z192),0)</f>
        <v>5.882352941176471</v>
      </c>
      <c r="AA194" s="60">
        <f>IF((AA193)&gt;0,(AA193/AA192),0)</f>
        <v>5.882352941176471</v>
      </c>
      <c r="AB194" s="95">
        <f>+SUM(X194:AA194)</f>
        <v>23.529411764705884</v>
      </c>
    </row>
    <row r="195" spans="1:28" ht="18" x14ac:dyDescent="0.4">
      <c r="A195" s="213"/>
      <c r="B195" s="245" t="s">
        <v>19</v>
      </c>
      <c r="C195" s="246"/>
      <c r="D195" s="28" t="s">
        <v>44</v>
      </c>
      <c r="E195" s="28" t="s">
        <v>45</v>
      </c>
      <c r="F195" s="28" t="s">
        <v>46</v>
      </c>
      <c r="G195" s="28" t="s">
        <v>47</v>
      </c>
      <c r="H195" s="75" t="s">
        <v>48</v>
      </c>
      <c r="I195" s="28" t="s">
        <v>37</v>
      </c>
      <c r="J195" s="28" t="s">
        <v>38</v>
      </c>
      <c r="K195" s="28" t="s">
        <v>39</v>
      </c>
      <c r="L195" s="28" t="s">
        <v>40</v>
      </c>
      <c r="M195" s="75" t="s">
        <v>41</v>
      </c>
      <c r="N195" s="28" t="s">
        <v>50</v>
      </c>
      <c r="O195" s="28" t="s">
        <v>51</v>
      </c>
      <c r="P195" s="28" t="s">
        <v>52</v>
      </c>
      <c r="Q195" s="28" t="s">
        <v>53</v>
      </c>
      <c r="R195" s="75" t="s">
        <v>54</v>
      </c>
      <c r="S195" s="28" t="s">
        <v>55</v>
      </c>
      <c r="T195" s="28" t="s">
        <v>182</v>
      </c>
      <c r="U195" s="26" t="s">
        <v>62</v>
      </c>
      <c r="V195" s="26" t="s">
        <v>63</v>
      </c>
      <c r="W195" s="77" t="s">
        <v>64</v>
      </c>
      <c r="X195" s="26" t="s">
        <v>65</v>
      </c>
      <c r="Y195" s="26" t="s">
        <v>66</v>
      </c>
      <c r="Z195" s="26" t="s">
        <v>67</v>
      </c>
      <c r="AA195" s="26" t="s">
        <v>68</v>
      </c>
      <c r="AB195" s="77" t="s">
        <v>69</v>
      </c>
    </row>
    <row r="196" spans="1:28" outlineLevel="1" x14ac:dyDescent="0.25">
      <c r="A196" s="213"/>
      <c r="B196" s="247" t="s">
        <v>154</v>
      </c>
      <c r="C196" s="248"/>
      <c r="D196" s="104"/>
      <c r="E196" s="104"/>
      <c r="F196" s="104">
        <v>0</v>
      </c>
      <c r="G196" s="104">
        <v>0</v>
      </c>
      <c r="H196" s="105"/>
      <c r="I196" s="104"/>
      <c r="J196" s="104"/>
      <c r="K196" s="104">
        <v>-120.2</v>
      </c>
      <c r="L196" s="104">
        <v>-44.6</v>
      </c>
      <c r="M196" s="105"/>
      <c r="N196" s="104">
        <f>-(1.6+30.4)</f>
        <v>-32</v>
      </c>
      <c r="O196" s="104">
        <f>-(0.9+31.3+103)</f>
        <v>-135.19999999999999</v>
      </c>
      <c r="P196" s="104">
        <f>-(18.4+4.3-1)</f>
        <v>-21.7</v>
      </c>
      <c r="Q196" s="104">
        <f>-(11+28.1+10.9)</f>
        <v>-50</v>
      </c>
      <c r="R196" s="105"/>
      <c r="S196" s="104">
        <f>-(22+5.3+0.6+20.9)</f>
        <v>-48.8</v>
      </c>
      <c r="T196" s="30">
        <v>-45.1</v>
      </c>
      <c r="U196" s="30">
        <f>-U23</f>
        <v>-52.049494113820188</v>
      </c>
      <c r="V196" s="30">
        <f>-V23</f>
        <v>-54.084864629132497</v>
      </c>
      <c r="W196" s="31"/>
      <c r="X196" s="30">
        <f>-X23</f>
        <v>-54.009643208406288</v>
      </c>
      <c r="Y196" s="30">
        <f>-Y23</f>
        <v>-47.746754049469196</v>
      </c>
      <c r="Z196" s="30">
        <f>-Z23</f>
        <v>-52.484808688970759</v>
      </c>
      <c r="AA196" s="30">
        <f>-AA23</f>
        <v>-52.094106550008831</v>
      </c>
      <c r="AB196" s="31"/>
    </row>
    <row r="197" spans="1:28" outlineLevel="1" x14ac:dyDescent="0.25">
      <c r="A197" s="213"/>
      <c r="B197" s="64" t="s">
        <v>153</v>
      </c>
      <c r="C197" s="65"/>
      <c r="D197" s="104"/>
      <c r="E197" s="104"/>
      <c r="F197" s="104"/>
      <c r="G197" s="104"/>
      <c r="H197" s="105"/>
      <c r="I197" s="104"/>
      <c r="J197" s="104"/>
      <c r="K197" s="104"/>
      <c r="L197" s="104"/>
      <c r="M197" s="105"/>
      <c r="N197" s="104"/>
      <c r="O197" s="104"/>
      <c r="P197" s="104">
        <f>-(-0.2-0.2+4.6+7.9)</f>
        <v>-12.1</v>
      </c>
      <c r="Q197" s="104">
        <f>-(39.6+9.7)</f>
        <v>-49.3</v>
      </c>
      <c r="R197" s="105"/>
      <c r="S197" s="104">
        <f>-(5.3+0.5)</f>
        <v>-5.8</v>
      </c>
      <c r="T197" s="30">
        <v>-4.3</v>
      </c>
      <c r="U197" s="30"/>
      <c r="V197" s="30"/>
      <c r="W197" s="31"/>
      <c r="X197" s="30"/>
      <c r="Y197" s="30"/>
      <c r="Z197" s="30"/>
      <c r="AA197" s="30"/>
      <c r="AB197" s="31"/>
    </row>
    <row r="198" spans="1:28" outlineLevel="1" x14ac:dyDescent="0.25">
      <c r="A198" s="213"/>
      <c r="B198" s="64" t="s">
        <v>155</v>
      </c>
      <c r="C198" s="65"/>
      <c r="D198" s="104"/>
      <c r="E198" s="104"/>
      <c r="F198" s="104"/>
      <c r="G198" s="104"/>
      <c r="H198" s="105"/>
      <c r="I198" s="104"/>
      <c r="J198" s="104"/>
      <c r="K198" s="104"/>
      <c r="L198" s="104"/>
      <c r="M198" s="105"/>
      <c r="N198" s="104">
        <f>-(14.9+3.6)</f>
        <v>-18.5</v>
      </c>
      <c r="O198" s="104">
        <f>-(63.9+3)</f>
        <v>-66.900000000000006</v>
      </c>
      <c r="P198" s="104">
        <f>-(75.2+0.6)</f>
        <v>-75.8</v>
      </c>
      <c r="Q198" s="104">
        <f>-(62.7+0.4)</f>
        <v>-63.1</v>
      </c>
      <c r="R198" s="105"/>
      <c r="S198" s="104">
        <f>-(60.6-0.3)</f>
        <v>-60.300000000000004</v>
      </c>
      <c r="T198" s="30">
        <v>-68.2</v>
      </c>
      <c r="U198" s="30"/>
      <c r="V198" s="30"/>
      <c r="W198" s="31"/>
      <c r="X198" s="30"/>
      <c r="Y198" s="30"/>
      <c r="Z198" s="30"/>
      <c r="AA198" s="30"/>
      <c r="AB198" s="31"/>
    </row>
    <row r="199" spans="1:28" outlineLevel="1" x14ac:dyDescent="0.25">
      <c r="A199" s="213"/>
      <c r="B199" s="64" t="s">
        <v>156</v>
      </c>
      <c r="C199" s="65"/>
      <c r="D199" s="104"/>
      <c r="E199" s="104"/>
      <c r="F199" s="104"/>
      <c r="G199" s="104"/>
      <c r="H199" s="105"/>
      <c r="I199" s="104"/>
      <c r="J199" s="104"/>
      <c r="K199" s="104"/>
      <c r="L199" s="104"/>
      <c r="M199" s="105"/>
      <c r="N199" s="104"/>
      <c r="O199" s="104"/>
      <c r="P199" s="104">
        <v>-21.7</v>
      </c>
      <c r="Q199" s="104">
        <v>-24.1</v>
      </c>
      <c r="R199" s="105"/>
      <c r="S199" s="104">
        <v>-23.1</v>
      </c>
      <c r="T199" s="30">
        <v>-23.8</v>
      </c>
      <c r="U199" s="30"/>
      <c r="V199" s="30"/>
      <c r="W199" s="31"/>
      <c r="X199" s="30"/>
      <c r="Y199" s="30"/>
      <c r="Z199" s="30"/>
      <c r="AA199" s="30"/>
      <c r="AB199" s="31"/>
    </row>
    <row r="200" spans="1:28" outlineLevel="1" x14ac:dyDescent="0.25">
      <c r="A200" s="213"/>
      <c r="B200" s="64" t="s">
        <v>174</v>
      </c>
      <c r="C200" s="65"/>
      <c r="D200" s="104"/>
      <c r="E200" s="104"/>
      <c r="F200" s="104">
        <v>-2.8</v>
      </c>
      <c r="G200" s="104"/>
      <c r="H200" s="105"/>
      <c r="I200" s="104"/>
      <c r="J200" s="104"/>
      <c r="K200" s="104"/>
      <c r="L200" s="104"/>
      <c r="M200" s="105"/>
      <c r="N200" s="104"/>
      <c r="O200" s="104"/>
      <c r="P200" s="104"/>
      <c r="Q200" s="104"/>
      <c r="R200" s="105"/>
      <c r="S200" s="104"/>
      <c r="T200" s="30"/>
      <c r="U200" s="30"/>
      <c r="V200" s="30"/>
      <c r="W200" s="31"/>
      <c r="X200" s="30"/>
      <c r="Y200" s="30"/>
      <c r="Z200" s="30"/>
      <c r="AA200" s="30"/>
      <c r="AB200" s="31"/>
    </row>
    <row r="201" spans="1:28" outlineLevel="1" x14ac:dyDescent="0.25">
      <c r="A201" s="213"/>
      <c r="B201" s="64" t="s">
        <v>161</v>
      </c>
      <c r="C201" s="65"/>
      <c r="D201" s="104"/>
      <c r="E201" s="104"/>
      <c r="F201" s="104"/>
      <c r="G201" s="104"/>
      <c r="H201" s="105"/>
      <c r="I201" s="104"/>
      <c r="J201" s="104"/>
      <c r="K201" s="104"/>
      <c r="L201" s="104"/>
      <c r="M201" s="105"/>
      <c r="N201" s="104">
        <v>-0.9</v>
      </c>
      <c r="O201" s="104">
        <v>-0.9</v>
      </c>
      <c r="P201" s="104">
        <v>-0.4</v>
      </c>
      <c r="Q201" s="104"/>
      <c r="R201" s="105"/>
      <c r="S201" s="104"/>
      <c r="T201" s="30"/>
      <c r="U201" s="30"/>
      <c r="V201" s="30"/>
      <c r="W201" s="31"/>
      <c r="X201" s="30"/>
      <c r="Y201" s="30"/>
      <c r="Z201" s="30"/>
      <c r="AA201" s="30"/>
      <c r="AB201" s="31"/>
    </row>
    <row r="202" spans="1:28" outlineLevel="1" x14ac:dyDescent="0.25">
      <c r="A202" s="213"/>
      <c r="B202" s="64" t="s">
        <v>160</v>
      </c>
      <c r="C202" s="65"/>
      <c r="D202" s="104"/>
      <c r="E202" s="104"/>
      <c r="F202" s="104"/>
      <c r="G202" s="104"/>
      <c r="H202" s="105"/>
      <c r="I202" s="104"/>
      <c r="J202" s="104"/>
      <c r="K202" s="104"/>
      <c r="L202" s="104"/>
      <c r="M202" s="105"/>
      <c r="N202" s="104"/>
      <c r="O202" s="104">
        <v>-1.6</v>
      </c>
      <c r="P202" s="104"/>
      <c r="Q202" s="104"/>
      <c r="R202" s="105"/>
      <c r="S202" s="104"/>
      <c r="T202" s="30"/>
      <c r="U202" s="30"/>
      <c r="V202" s="30"/>
      <c r="W202" s="31"/>
      <c r="X202" s="30"/>
      <c r="Y202" s="30"/>
      <c r="Z202" s="30"/>
      <c r="AA202" s="30"/>
      <c r="AB202" s="31"/>
    </row>
    <row r="203" spans="1:28" outlineLevel="1" x14ac:dyDescent="0.25">
      <c r="A203" s="213"/>
      <c r="B203" s="64" t="s">
        <v>162</v>
      </c>
      <c r="C203" s="65"/>
      <c r="D203" s="104"/>
      <c r="E203" s="104"/>
      <c r="F203" s="104"/>
      <c r="G203" s="104"/>
      <c r="H203" s="105"/>
      <c r="I203" s="104"/>
      <c r="J203" s="104"/>
      <c r="K203" s="104"/>
      <c r="L203" s="104">
        <v>-1.4</v>
      </c>
      <c r="M203" s="105"/>
      <c r="N203" s="104"/>
      <c r="O203" s="104"/>
      <c r="P203" s="104"/>
      <c r="Q203" s="104"/>
      <c r="R203" s="105"/>
      <c r="S203" s="104"/>
      <c r="T203" s="30"/>
      <c r="U203" s="30"/>
      <c r="V203" s="30"/>
      <c r="W203" s="31"/>
      <c r="X203" s="30"/>
      <c r="Y203" s="30"/>
      <c r="Z203" s="30"/>
      <c r="AA203" s="30"/>
      <c r="AB203" s="31"/>
    </row>
    <row r="204" spans="1:28" outlineLevel="1" x14ac:dyDescent="0.25">
      <c r="A204" s="213"/>
      <c r="B204" s="64" t="s">
        <v>163</v>
      </c>
      <c r="C204" s="65"/>
      <c r="D204" s="104"/>
      <c r="E204" s="104"/>
      <c r="F204" s="104"/>
      <c r="G204" s="104"/>
      <c r="H204" s="105"/>
      <c r="I204" s="104"/>
      <c r="J204" s="104"/>
      <c r="K204" s="104"/>
      <c r="L204" s="104">
        <v>-3.9</v>
      </c>
      <c r="M204" s="105"/>
      <c r="N204" s="104"/>
      <c r="O204" s="104"/>
      <c r="P204" s="104"/>
      <c r="Q204" s="104"/>
      <c r="R204" s="105"/>
      <c r="S204" s="104"/>
      <c r="T204" s="30"/>
      <c r="U204" s="30"/>
      <c r="V204" s="30"/>
      <c r="W204" s="31"/>
      <c r="X204" s="30"/>
      <c r="Y204" s="30"/>
      <c r="Z204" s="30"/>
      <c r="AA204" s="30"/>
      <c r="AB204" s="31"/>
    </row>
    <row r="205" spans="1:28" outlineLevel="1" x14ac:dyDescent="0.25">
      <c r="A205" s="213"/>
      <c r="B205" s="64" t="s">
        <v>164</v>
      </c>
      <c r="C205" s="65"/>
      <c r="D205" s="104">
        <v>-12.3</v>
      </c>
      <c r="E205" s="104">
        <v>-13.9</v>
      </c>
      <c r="F205" s="104">
        <v>-14.5</v>
      </c>
      <c r="G205" s="104">
        <v>-16.7</v>
      </c>
      <c r="H205" s="105"/>
      <c r="I205" s="104">
        <v>-14</v>
      </c>
      <c r="J205" s="104">
        <v>-13.8</v>
      </c>
      <c r="K205" s="104">
        <v>-14</v>
      </c>
      <c r="L205" s="104">
        <v>-15.9</v>
      </c>
      <c r="M205" s="105"/>
      <c r="N205" s="104"/>
      <c r="O205" s="104"/>
      <c r="P205" s="104"/>
      <c r="Q205" s="104"/>
      <c r="R205" s="105"/>
      <c r="S205" s="104"/>
      <c r="T205" s="30"/>
      <c r="U205" s="30"/>
      <c r="V205" s="30"/>
      <c r="W205" s="31"/>
      <c r="X205" s="30"/>
      <c r="Y205" s="30"/>
      <c r="Z205" s="30"/>
      <c r="AA205" s="30"/>
      <c r="AB205" s="31"/>
    </row>
    <row r="206" spans="1:28" outlineLevel="1" x14ac:dyDescent="0.25">
      <c r="A206" s="213"/>
      <c r="B206" s="64" t="s">
        <v>165</v>
      </c>
      <c r="C206" s="65"/>
      <c r="D206" s="104"/>
      <c r="E206" s="104"/>
      <c r="F206" s="104"/>
      <c r="G206" s="104"/>
      <c r="H206" s="105"/>
      <c r="I206" s="104"/>
      <c r="J206" s="104"/>
      <c r="K206" s="104"/>
      <c r="L206" s="104">
        <v>-50</v>
      </c>
      <c r="M206" s="105"/>
      <c r="N206" s="104"/>
      <c r="O206" s="104"/>
      <c r="P206" s="104"/>
      <c r="Q206" s="104"/>
      <c r="R206" s="105"/>
      <c r="S206" s="104"/>
      <c r="T206" s="30"/>
      <c r="U206" s="30"/>
      <c r="V206" s="30"/>
      <c r="W206" s="31"/>
      <c r="X206" s="30"/>
      <c r="Y206" s="30"/>
      <c r="Z206" s="30"/>
      <c r="AA206" s="30"/>
      <c r="AB206" s="31"/>
    </row>
    <row r="207" spans="1:28" ht="17.25" outlineLevel="1" x14ac:dyDescent="0.4">
      <c r="A207" s="213"/>
      <c r="B207" s="64" t="s">
        <v>177</v>
      </c>
      <c r="C207" s="65"/>
      <c r="D207" s="108">
        <v>0</v>
      </c>
      <c r="E207" s="108">
        <v>0</v>
      </c>
      <c r="F207" s="108">
        <v>0</v>
      </c>
      <c r="G207" s="108">
        <v>0</v>
      </c>
      <c r="H207" s="109"/>
      <c r="I207" s="108">
        <v>0</v>
      </c>
      <c r="J207" s="108">
        <v>0</v>
      </c>
      <c r="K207" s="108">
        <v>0</v>
      </c>
      <c r="L207" s="108">
        <v>0</v>
      </c>
      <c r="M207" s="109"/>
      <c r="N207" s="108">
        <v>0</v>
      </c>
      <c r="O207" s="108">
        <v>0</v>
      </c>
      <c r="P207" s="108">
        <v>0</v>
      </c>
      <c r="Q207" s="108">
        <v>0</v>
      </c>
      <c r="R207" s="109"/>
      <c r="S207" s="108">
        <v>0</v>
      </c>
      <c r="T207" s="231">
        <v>0</v>
      </c>
      <c r="U207" s="52">
        <v>-67.16793990864285</v>
      </c>
      <c r="V207" s="52">
        <v>-84.883905825760507</v>
      </c>
      <c r="W207" s="34"/>
      <c r="X207" s="52">
        <v>-81.038510857843477</v>
      </c>
      <c r="Y207" s="52">
        <f>AVERAGE(T207,U207,V207,X207)-10</f>
        <v>-68.272589148061712</v>
      </c>
      <c r="Z207" s="52">
        <f>AVERAGE(U207,V207,X207,Y207)-10</f>
        <v>-85.340736435077133</v>
      </c>
      <c r="AA207" s="52">
        <f>AVERAGE(V207,X207,Y207,Z207)-10</f>
        <v>-89.883935566685707</v>
      </c>
      <c r="AB207" s="31"/>
    </row>
    <row r="208" spans="1:28" s="22" customFormat="1" outlineLevel="1" x14ac:dyDescent="0.25">
      <c r="A208" s="228"/>
      <c r="B208" s="68" t="s">
        <v>157</v>
      </c>
      <c r="C208" s="69"/>
      <c r="D208" s="106">
        <f>SUM(D196:D207)</f>
        <v>-12.3</v>
      </c>
      <c r="E208" s="106">
        <f>SUM(E196:E207)</f>
        <v>-13.9</v>
      </c>
      <c r="F208" s="106">
        <f>SUM(F196:F207)</f>
        <v>-17.3</v>
      </c>
      <c r="G208" s="106">
        <f>SUM(G196:G207)</f>
        <v>-16.7</v>
      </c>
      <c r="H208" s="107"/>
      <c r="I208" s="106">
        <f>SUM(I196:I207)</f>
        <v>-14</v>
      </c>
      <c r="J208" s="106">
        <f>SUM(J196:J207)</f>
        <v>-13.8</v>
      </c>
      <c r="K208" s="106">
        <f>SUM(K196:K207)</f>
        <v>-134.19999999999999</v>
      </c>
      <c r="L208" s="106">
        <f>SUM(L196:L207)</f>
        <v>-115.8</v>
      </c>
      <c r="M208" s="107"/>
      <c r="N208" s="106">
        <f>SUM(N196:N207)</f>
        <v>-51.4</v>
      </c>
      <c r="O208" s="106">
        <f>SUM(O196:O207)</f>
        <v>-204.6</v>
      </c>
      <c r="P208" s="106">
        <f>SUM(P196:P207)</f>
        <v>-131.69999999999999</v>
      </c>
      <c r="Q208" s="106">
        <f>SUM(Q196:Q207)</f>
        <v>-186.5</v>
      </c>
      <c r="R208" s="107"/>
      <c r="S208" s="106">
        <f>SUM(S196:S207)</f>
        <v>-138</v>
      </c>
      <c r="T208" s="106">
        <f t="shared" ref="T208:AA208" si="471">SUM(T196:T207)</f>
        <v>-141.4</v>
      </c>
      <c r="U208" s="106">
        <f t="shared" si="471"/>
        <v>-119.21743402246304</v>
      </c>
      <c r="V208" s="106">
        <f t="shared" si="471"/>
        <v>-138.96877045489299</v>
      </c>
      <c r="W208" s="107">
        <f t="shared" si="471"/>
        <v>0</v>
      </c>
      <c r="X208" s="106">
        <f t="shared" si="471"/>
        <v>-135.04815406624977</v>
      </c>
      <c r="Y208" s="106">
        <f t="shared" si="471"/>
        <v>-116.0193431975309</v>
      </c>
      <c r="Z208" s="106">
        <f t="shared" si="471"/>
        <v>-137.82554512404789</v>
      </c>
      <c r="AA208" s="106">
        <f t="shared" si="471"/>
        <v>-141.97804211669455</v>
      </c>
      <c r="AB208" s="38"/>
    </row>
    <row r="209" spans="1:28" ht="17.25" outlineLevel="1" x14ac:dyDescent="0.4">
      <c r="A209" s="213"/>
      <c r="B209" s="64" t="s">
        <v>166</v>
      </c>
      <c r="C209" s="65"/>
      <c r="D209" s="108">
        <v>0</v>
      </c>
      <c r="E209" s="108">
        <v>0</v>
      </c>
      <c r="F209" s="108">
        <v>0</v>
      </c>
      <c r="G209" s="108">
        <v>-137.30000000000001</v>
      </c>
      <c r="H209" s="105"/>
      <c r="I209" s="108">
        <v>0</v>
      </c>
      <c r="J209" s="108">
        <v>0</v>
      </c>
      <c r="K209" s="108">
        <v>0</v>
      </c>
      <c r="L209" s="108">
        <v>0</v>
      </c>
      <c r="M209" s="109"/>
      <c r="N209" s="108">
        <v>0</v>
      </c>
      <c r="O209" s="108">
        <v>0</v>
      </c>
      <c r="P209" s="108">
        <v>0</v>
      </c>
      <c r="Q209" s="108">
        <v>0</v>
      </c>
      <c r="R209" s="109"/>
      <c r="S209" s="108">
        <v>0</v>
      </c>
      <c r="T209" s="108">
        <v>0</v>
      </c>
      <c r="U209" s="108">
        <v>0</v>
      </c>
      <c r="V209" s="108">
        <v>0</v>
      </c>
      <c r="W209" s="31"/>
      <c r="X209" s="108">
        <v>0</v>
      </c>
      <c r="Y209" s="108">
        <v>0</v>
      </c>
      <c r="Z209" s="108">
        <v>0</v>
      </c>
      <c r="AA209" s="108">
        <v>0</v>
      </c>
      <c r="AB209" s="31"/>
    </row>
    <row r="210" spans="1:28" s="22" customFormat="1" outlineLevel="1" x14ac:dyDescent="0.25">
      <c r="A210" s="228"/>
      <c r="B210" s="68" t="s">
        <v>158</v>
      </c>
      <c r="C210" s="69"/>
      <c r="D210" s="106">
        <f t="shared" ref="D210:F210" si="472">-D208+D209</f>
        <v>12.3</v>
      </c>
      <c r="E210" s="106">
        <f t="shared" si="472"/>
        <v>13.9</v>
      </c>
      <c r="F210" s="106">
        <f t="shared" si="472"/>
        <v>17.3</v>
      </c>
      <c r="G210" s="106">
        <f>-G208+G209</f>
        <v>-120.60000000000001</v>
      </c>
      <c r="H210" s="107"/>
      <c r="I210" s="106">
        <f t="shared" ref="I210:S210" si="473">-I208+I209</f>
        <v>14</v>
      </c>
      <c r="J210" s="106">
        <f t="shared" si="473"/>
        <v>13.8</v>
      </c>
      <c r="K210" s="106">
        <f t="shared" si="473"/>
        <v>134.19999999999999</v>
      </c>
      <c r="L210" s="106">
        <f t="shared" si="473"/>
        <v>115.8</v>
      </c>
      <c r="M210" s="107"/>
      <c r="N210" s="106">
        <f t="shared" si="473"/>
        <v>51.4</v>
      </c>
      <c r="O210" s="106">
        <f t="shared" si="473"/>
        <v>204.6</v>
      </c>
      <c r="P210" s="106">
        <f t="shared" si="473"/>
        <v>131.69999999999999</v>
      </c>
      <c r="Q210" s="106">
        <f t="shared" si="473"/>
        <v>186.5</v>
      </c>
      <c r="R210" s="107"/>
      <c r="S210" s="106">
        <f t="shared" si="473"/>
        <v>138</v>
      </c>
      <c r="T210" s="106">
        <f t="shared" ref="T210:V210" si="474">-T208+T209</f>
        <v>141.4</v>
      </c>
      <c r="U210" s="106">
        <f t="shared" si="474"/>
        <v>119.21743402246304</v>
      </c>
      <c r="V210" s="106">
        <f t="shared" si="474"/>
        <v>138.96877045489299</v>
      </c>
      <c r="W210" s="38"/>
      <c r="X210" s="106">
        <f t="shared" ref="X210:AA210" si="475">-X208+X209</f>
        <v>135.04815406624977</v>
      </c>
      <c r="Y210" s="106">
        <f t="shared" si="475"/>
        <v>116.0193431975309</v>
      </c>
      <c r="Z210" s="106">
        <f t="shared" si="475"/>
        <v>137.82554512404789</v>
      </c>
      <c r="AA210" s="106">
        <f t="shared" si="475"/>
        <v>141.97804211669455</v>
      </c>
      <c r="AB210" s="38"/>
    </row>
    <row r="211" spans="1:28" outlineLevel="1" x14ac:dyDescent="0.25">
      <c r="A211" s="213"/>
      <c r="B211" s="64" t="s">
        <v>159</v>
      </c>
      <c r="C211" s="65"/>
      <c r="D211" s="104">
        <v>0</v>
      </c>
      <c r="E211" s="104">
        <v>0</v>
      </c>
      <c r="F211" s="104">
        <v>0</v>
      </c>
      <c r="G211" s="104">
        <v>0</v>
      </c>
      <c r="H211" s="105"/>
      <c r="I211" s="104">
        <v>0</v>
      </c>
      <c r="J211" s="104">
        <v>0</v>
      </c>
      <c r="K211" s="104">
        <v>0</v>
      </c>
      <c r="L211" s="104">
        <v>0</v>
      </c>
      <c r="M211" s="105"/>
      <c r="N211" s="104">
        <f>1326.3+500.9</f>
        <v>1827.1999999999998</v>
      </c>
      <c r="O211" s="104">
        <f>47.6-4.9</f>
        <v>42.7</v>
      </c>
      <c r="P211" s="104">
        <v>2.5</v>
      </c>
      <c r="Q211" s="104">
        <v>2.9</v>
      </c>
      <c r="R211" s="105"/>
      <c r="S211" s="104">
        <v>0</v>
      </c>
      <c r="T211" s="216">
        <f>-0.02*T40</f>
        <v>-25.014000000000003</v>
      </c>
      <c r="U211" s="53">
        <v>0</v>
      </c>
      <c r="V211" s="53">
        <v>0</v>
      </c>
      <c r="W211" s="31"/>
      <c r="X211" s="53">
        <v>0</v>
      </c>
      <c r="Y211" s="53">
        <v>0</v>
      </c>
      <c r="Z211" s="53">
        <v>0</v>
      </c>
      <c r="AA211" s="53">
        <v>0</v>
      </c>
      <c r="AB211" s="31"/>
    </row>
    <row r="212" spans="1:28" outlineLevel="1" x14ac:dyDescent="0.25">
      <c r="A212" s="213"/>
      <c r="B212" s="64" t="s">
        <v>172</v>
      </c>
      <c r="C212" s="65"/>
      <c r="D212" s="104">
        <v>2</v>
      </c>
      <c r="E212" s="104">
        <v>3</v>
      </c>
      <c r="F212" s="104">
        <v>46.542999999999431</v>
      </c>
      <c r="G212" s="104">
        <v>59.443863153953373</v>
      </c>
      <c r="H212" s="105"/>
      <c r="I212" s="104">
        <v>2.5</v>
      </c>
      <c r="J212" s="104">
        <v>2</v>
      </c>
      <c r="K212" s="104">
        <v>23.130000000000553</v>
      </c>
      <c r="L212" s="104">
        <v>106.13999999999947</v>
      </c>
      <c r="M212" s="105"/>
      <c r="N212" s="104">
        <v>-458.08999999999958</v>
      </c>
      <c r="O212" s="104">
        <v>76.502000000000038</v>
      </c>
      <c r="P212" s="104">
        <v>120.8300000000003</v>
      </c>
      <c r="Q212" s="104">
        <v>103.15599999999993</v>
      </c>
      <c r="R212" s="105"/>
      <c r="S212" s="104">
        <v>-41.449999999998646</v>
      </c>
      <c r="T212" s="30">
        <v>79.193999999999548</v>
      </c>
      <c r="U212" s="30">
        <f>+U210*U213</f>
        <v>23.84348680449261</v>
      </c>
      <c r="V212" s="30">
        <f t="shared" ref="V212" si="476">+V210*V213</f>
        <v>27.793754090978599</v>
      </c>
      <c r="W212" s="31"/>
      <c r="X212" s="30">
        <f>+X210*X213</f>
        <v>27.009630813249956</v>
      </c>
      <c r="Y212" s="30">
        <f>+Y210*Y213</f>
        <v>23.203868639506183</v>
      </c>
      <c r="Z212" s="30">
        <f t="shared" ref="Z212" si="477">+Z210*Z213</f>
        <v>27.56510902480958</v>
      </c>
      <c r="AA212" s="30">
        <f t="shared" ref="AA212" si="478">+AA210*AA213</f>
        <v>28.395608423338913</v>
      </c>
      <c r="AB212" s="31"/>
    </row>
    <row r="213" spans="1:28" outlineLevel="1" x14ac:dyDescent="0.25">
      <c r="A213" s="213"/>
      <c r="B213" s="71" t="s">
        <v>173</v>
      </c>
      <c r="C213" s="92"/>
      <c r="D213" s="196">
        <f t="shared" ref="D213:F213" si="479">D212/D210</f>
        <v>0.16260162601626016</v>
      </c>
      <c r="E213" s="196">
        <f t="shared" si="479"/>
        <v>0.21582733812949639</v>
      </c>
      <c r="F213" s="196">
        <f t="shared" si="479"/>
        <v>2.6903468208092156</v>
      </c>
      <c r="G213" s="196">
        <f>G212/G210</f>
        <v>-0.49290102117705942</v>
      </c>
      <c r="H213" s="95"/>
      <c r="I213" s="196">
        <f t="shared" ref="I213" si="480">I212/I210</f>
        <v>0.17857142857142858</v>
      </c>
      <c r="J213" s="196">
        <f t="shared" ref="J213" si="481">J212/J210</f>
        <v>0.14492753623188406</v>
      </c>
      <c r="K213" s="196">
        <f t="shared" ref="K213" si="482">K212/K210</f>
        <v>0.17235469448584617</v>
      </c>
      <c r="L213" s="196">
        <f>L212/L210</f>
        <v>0.91658031088082448</v>
      </c>
      <c r="M213" s="95"/>
      <c r="N213" s="196">
        <f t="shared" ref="N213" si="483">N212/N210</f>
        <v>-8.9122568093385137</v>
      </c>
      <c r="O213" s="196">
        <f t="shared" ref="O213" si="484">O212/O210</f>
        <v>0.37391006842619767</v>
      </c>
      <c r="P213" s="196">
        <f t="shared" ref="P213" si="485">P212/P210</f>
        <v>0.91746393318147534</v>
      </c>
      <c r="Q213" s="196">
        <f>Q212/Q210</f>
        <v>0.55311528150134015</v>
      </c>
      <c r="R213" s="95"/>
      <c r="S213" s="196">
        <f t="shared" ref="S213:T213" si="486">S212/S210</f>
        <v>-0.30036231884056991</v>
      </c>
      <c r="T213" s="196">
        <f t="shared" si="486"/>
        <v>0.56007072135784686</v>
      </c>
      <c r="U213" s="197">
        <v>0.2</v>
      </c>
      <c r="V213" s="197">
        <v>0.2</v>
      </c>
      <c r="W213" s="62"/>
      <c r="X213" s="197">
        <v>0.2</v>
      </c>
      <c r="Y213" s="197">
        <v>0.2</v>
      </c>
      <c r="Z213" s="197">
        <v>0.2</v>
      </c>
      <c r="AA213" s="197">
        <v>0.2</v>
      </c>
      <c r="AB213" s="62"/>
    </row>
    <row r="214" spans="1:28" x14ac:dyDescent="0.25">
      <c r="B214" s="21"/>
      <c r="C214" s="21"/>
      <c r="F214" s="3"/>
      <c r="G214" s="3"/>
      <c r="H214" s="3"/>
      <c r="K214" s="3"/>
      <c r="L214" s="3"/>
      <c r="M214" s="79"/>
      <c r="N214" s="201"/>
      <c r="O214" s="201"/>
      <c r="P214" s="201"/>
      <c r="Q214" s="201"/>
      <c r="R214" s="201"/>
      <c r="S214" s="201"/>
      <c r="U214" s="3"/>
      <c r="V214" s="3"/>
      <c r="W214" s="79"/>
      <c r="Z214" s="3"/>
      <c r="AA214" s="3"/>
      <c r="AB214" s="79"/>
    </row>
  </sheetData>
  <dataConsolidate/>
  <mergeCells count="68">
    <mergeCell ref="A11:A12"/>
    <mergeCell ref="B48:C48"/>
    <mergeCell ref="B191:C191"/>
    <mergeCell ref="B190:C190"/>
    <mergeCell ref="B188:C188"/>
    <mergeCell ref="B178:C178"/>
    <mergeCell ref="B187:C187"/>
    <mergeCell ref="B186:C186"/>
    <mergeCell ref="B189:C189"/>
    <mergeCell ref="B185:C185"/>
    <mergeCell ref="B184:C184"/>
    <mergeCell ref="B11:C11"/>
    <mergeCell ref="B13:C13"/>
    <mergeCell ref="B14:C14"/>
    <mergeCell ref="B15:C15"/>
    <mergeCell ref="B17:C17"/>
    <mergeCell ref="B2:C2"/>
    <mergeCell ref="B194:C194"/>
    <mergeCell ref="B193:C193"/>
    <mergeCell ref="B3:C3"/>
    <mergeCell ref="B4:C4"/>
    <mergeCell ref="B5:C5"/>
    <mergeCell ref="B192:C192"/>
    <mergeCell ref="B12:C12"/>
    <mergeCell ref="B42:C42"/>
    <mergeCell ref="B41:C41"/>
    <mergeCell ref="B40:C40"/>
    <mergeCell ref="B39:C39"/>
    <mergeCell ref="B34:C34"/>
    <mergeCell ref="B16:C16"/>
    <mergeCell ref="B33:C33"/>
    <mergeCell ref="B32:C32"/>
    <mergeCell ref="B25:C25"/>
    <mergeCell ref="B149:C149"/>
    <mergeCell ref="B131:C131"/>
    <mergeCell ref="B132:C132"/>
    <mergeCell ref="B136:C136"/>
    <mergeCell ref="B137:C137"/>
    <mergeCell ref="B148:C148"/>
    <mergeCell ref="B115:C115"/>
    <mergeCell ref="B65:C65"/>
    <mergeCell ref="B69:C69"/>
    <mergeCell ref="B70:C70"/>
    <mergeCell ref="B49:C49"/>
    <mergeCell ref="B60:C60"/>
    <mergeCell ref="B64:C64"/>
    <mergeCell ref="B166:C166"/>
    <mergeCell ref="B168:C168"/>
    <mergeCell ref="B170:C170"/>
    <mergeCell ref="B151:C151"/>
    <mergeCell ref="B163:C163"/>
    <mergeCell ref="B164:C164"/>
    <mergeCell ref="B195:C195"/>
    <mergeCell ref="B196:C196"/>
    <mergeCell ref="B47:C47"/>
    <mergeCell ref="B46:C46"/>
    <mergeCell ref="B57:C57"/>
    <mergeCell ref="B102:C102"/>
    <mergeCell ref="B103:C103"/>
    <mergeCell ref="B116:C116"/>
    <mergeCell ref="B124:C124"/>
    <mergeCell ref="B127:C127"/>
    <mergeCell ref="B81:C81"/>
    <mergeCell ref="B82:C82"/>
    <mergeCell ref="B90:C90"/>
    <mergeCell ref="B93:C93"/>
    <mergeCell ref="B97:C97"/>
    <mergeCell ref="B98:C98"/>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21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1"/>
  <sheetViews>
    <sheetView showGridLines="0" workbookViewId="0">
      <selection activeCell="G21" sqref="G21"/>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89" t="s">
        <v>185</v>
      </c>
    </row>
    <row r="2" spans="2:14" x14ac:dyDescent="0.25">
      <c r="B2" s="89"/>
    </row>
    <row r="3" spans="2:14" x14ac:dyDescent="0.25">
      <c r="B3" s="8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84"/>
      <c r="I7" s="284"/>
      <c r="J7" s="284"/>
      <c r="K7" s="284"/>
      <c r="L7" s="284"/>
      <c r="M7" s="284"/>
      <c r="N7" s="284"/>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8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89"/>
    </row>
    <row r="41" spans="2:2" x14ac:dyDescent="0.25">
      <c r="B41" s="89"/>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2019-07-20T00:19:29Z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