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https://d.docs.live.net/4bf9dc2a65e82d9d/Documents/Gutenberg/2-INTERN PROGRAM/2020 - Winter Round/Intern Submissions/"/>
    </mc:Choice>
  </mc:AlternateContent>
  <xr:revisionPtr revIDLastSave="9" documentId="8_{D4DE27BF-B135-0249-AEB4-DDB2C328FDFE}" xr6:coauthVersionLast="46" xr6:coauthVersionMax="46" xr10:uidLastSave="{495CA13B-FCC8-44C9-B382-BC0BF926F0CC}"/>
  <bookViews>
    <workbookView xWindow="-120" yWindow="-120" windowWidth="51840" windowHeight="21240" tabRatio="767" activeTab="1" xr2:uid="{00000000-000D-0000-FFFF-FFFF00000000}"/>
  </bookViews>
  <sheets>
    <sheet name="Instructions" sheetId="30" state="hidden" r:id="rId1"/>
    <sheet name="Earnings Model (Post-F4Q2020)" sheetId="33" r:id="rId2"/>
    <sheet name="Recon of ASRs" sheetId="31" state="hidden" r:id="rId3"/>
    <sheet name="Charts" sheetId="21" state="hidden" r:id="rId4"/>
  </sheets>
  <definedNames>
    <definedName name="DATA" localSheetId="3">#REF!</definedName>
    <definedName name="DATA">#REF!</definedName>
    <definedName name="_xlnm.Print_Area" localSheetId="1">'Earnings Model (Post-F4Q2020)'!$B$2:$W$175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0" i="33" l="1"/>
  <c r="Q120" i="33" s="1"/>
  <c r="S120" i="33" s="1"/>
  <c r="T120" i="33" s="1"/>
  <c r="U120" i="33" s="1"/>
  <c r="V120" i="33" s="1"/>
  <c r="Q103" i="33"/>
  <c r="S68" i="33"/>
  <c r="T68" i="33" s="1"/>
  <c r="U68" i="33" s="1"/>
  <c r="V68" i="33" s="1"/>
  <c r="P118" i="33"/>
  <c r="Q98" i="33"/>
  <c r="M133" i="33"/>
  <c r="M134" i="33"/>
  <c r="M135" i="33"/>
  <c r="M136" i="33"/>
  <c r="M132" i="33"/>
  <c r="H130" i="33"/>
  <c r="M130" i="33"/>
  <c r="P154" i="33"/>
  <c r="Q154" i="33" s="1"/>
  <c r="O136" i="33"/>
  <c r="P136" i="33" s="1"/>
  <c r="Q136" i="33" s="1"/>
  <c r="S136" i="33" s="1"/>
  <c r="T136" i="33" s="1"/>
  <c r="U136" i="33" s="1"/>
  <c r="V136" i="33" s="1"/>
  <c r="H126" i="33"/>
  <c r="H124" i="33"/>
  <c r="H122" i="33"/>
  <c r="H121" i="33"/>
  <c r="H119" i="33"/>
  <c r="H117" i="33"/>
  <c r="M126" i="33"/>
  <c r="M124" i="33"/>
  <c r="M122" i="33"/>
  <c r="M121" i="33"/>
  <c r="M119" i="33"/>
  <c r="M117" i="33"/>
  <c r="W124" i="33"/>
  <c r="R124" i="33"/>
  <c r="E125" i="33"/>
  <c r="F125" i="33"/>
  <c r="G125" i="33"/>
  <c r="I125" i="33"/>
  <c r="J125" i="33"/>
  <c r="K125" i="33"/>
  <c r="L125" i="33"/>
  <c r="N125" i="33"/>
  <c r="D125" i="33"/>
  <c r="D127" i="33" s="1"/>
  <c r="E123" i="33"/>
  <c r="F123" i="33"/>
  <c r="G123" i="33"/>
  <c r="I123" i="33"/>
  <c r="J123" i="33"/>
  <c r="K123" i="33"/>
  <c r="L123" i="33"/>
  <c r="N123" i="33"/>
  <c r="D123" i="33"/>
  <c r="E120" i="33"/>
  <c r="F120" i="33"/>
  <c r="G120" i="33"/>
  <c r="I120" i="33"/>
  <c r="J120" i="33"/>
  <c r="K120" i="33"/>
  <c r="L120" i="33"/>
  <c r="N120" i="33"/>
  <c r="D120" i="33"/>
  <c r="E118" i="33"/>
  <c r="F118" i="33"/>
  <c r="G118" i="33"/>
  <c r="I118" i="33"/>
  <c r="J118" i="33"/>
  <c r="K118" i="33"/>
  <c r="L118" i="33"/>
  <c r="N118" i="33"/>
  <c r="D118" i="33"/>
  <c r="H111" i="33"/>
  <c r="H109" i="33"/>
  <c r="H107" i="33"/>
  <c r="H106" i="33"/>
  <c r="H104" i="33"/>
  <c r="H102" i="33"/>
  <c r="H100" i="33"/>
  <c r="H95" i="33"/>
  <c r="H94" i="33"/>
  <c r="M111" i="33"/>
  <c r="M109" i="33"/>
  <c r="M107" i="33"/>
  <c r="M106" i="33"/>
  <c r="M104" i="33"/>
  <c r="M102" i="33"/>
  <c r="M100" i="33"/>
  <c r="M95" i="33"/>
  <c r="M94" i="33"/>
  <c r="H90" i="33"/>
  <c r="M90" i="33"/>
  <c r="H87" i="33"/>
  <c r="H79" i="33"/>
  <c r="M87" i="33"/>
  <c r="M79" i="33"/>
  <c r="W109" i="33"/>
  <c r="W91" i="33"/>
  <c r="W80" i="33"/>
  <c r="N110" i="33"/>
  <c r="L110" i="33"/>
  <c r="K110" i="33"/>
  <c r="J110" i="33"/>
  <c r="I110" i="33"/>
  <c r="E110" i="33"/>
  <c r="F110" i="33"/>
  <c r="G110" i="33"/>
  <c r="D110" i="33"/>
  <c r="R109" i="33"/>
  <c r="W74" i="33"/>
  <c r="M75" i="33"/>
  <c r="H75" i="33"/>
  <c r="N75" i="33"/>
  <c r="L75" i="33"/>
  <c r="K75" i="33"/>
  <c r="J75" i="33"/>
  <c r="I75" i="33"/>
  <c r="G75" i="33"/>
  <c r="F75" i="33"/>
  <c r="E75" i="33"/>
  <c r="D75" i="33"/>
  <c r="R74" i="33"/>
  <c r="N103" i="33"/>
  <c r="D103" i="33"/>
  <c r="L103" i="33"/>
  <c r="K103" i="33"/>
  <c r="J103" i="33"/>
  <c r="I103" i="33"/>
  <c r="G103" i="33"/>
  <c r="F103" i="33"/>
  <c r="E103" i="33"/>
  <c r="E68" i="33"/>
  <c r="F68" i="33"/>
  <c r="G68" i="33"/>
  <c r="I68" i="33"/>
  <c r="J68" i="33"/>
  <c r="K68" i="33"/>
  <c r="L68" i="33"/>
  <c r="N68" i="33"/>
  <c r="D68" i="33"/>
  <c r="N173" i="33"/>
  <c r="N96" i="33"/>
  <c r="N81" i="33"/>
  <c r="N61" i="33"/>
  <c r="J47" i="33"/>
  <c r="N116" i="33"/>
  <c r="N131" i="33"/>
  <c r="M137" i="33" l="1"/>
  <c r="M138" i="33" s="1"/>
  <c r="Q118" i="33"/>
  <c r="S118" i="33" s="1"/>
  <c r="T118" i="33" s="1"/>
  <c r="U118" i="33" s="1"/>
  <c r="V118" i="33" s="1"/>
  <c r="W136" i="33"/>
  <c r="R136" i="33"/>
  <c r="M131" i="33"/>
  <c r="H125" i="33"/>
  <c r="M125" i="33"/>
  <c r="O123" i="33"/>
  <c r="H103" i="33"/>
  <c r="W98" i="33"/>
  <c r="H110" i="33"/>
  <c r="M110" i="33"/>
  <c r="M103" i="33"/>
  <c r="P123" i="33" l="1"/>
  <c r="S174" i="33"/>
  <c r="T174" i="33" s="1"/>
  <c r="U174" i="33" s="1"/>
  <c r="V174" i="33" s="1"/>
  <c r="Q123" i="33" l="1"/>
  <c r="S103" i="33"/>
  <c r="T103" i="33" s="1"/>
  <c r="U103" i="33" s="1"/>
  <c r="V103" i="33" s="1"/>
  <c r="L56" i="33"/>
  <c r="L45" i="33"/>
  <c r="L91" i="33"/>
  <c r="L80" i="33"/>
  <c r="S123" i="33" l="1"/>
  <c r="T123" i="33" l="1"/>
  <c r="L131" i="33"/>
  <c r="L116" i="33"/>
  <c r="L96" i="33"/>
  <c r="L61" i="33"/>
  <c r="U123" i="33" l="1"/>
  <c r="L12" i="33"/>
  <c r="K173" i="33"/>
  <c r="K32" i="33" s="1"/>
  <c r="F172" i="33"/>
  <c r="E172" i="33"/>
  <c r="J169" i="33"/>
  <c r="I169" i="33"/>
  <c r="F169" i="33"/>
  <c r="E169" i="33"/>
  <c r="H168" i="33"/>
  <c r="H167" i="33"/>
  <c r="G166" i="33"/>
  <c r="D166" i="33"/>
  <c r="D165" i="33"/>
  <c r="H165" i="33" s="1"/>
  <c r="K164" i="33"/>
  <c r="G164" i="33"/>
  <c r="D164" i="33"/>
  <c r="F162" i="33"/>
  <c r="E162" i="33"/>
  <c r="E159" i="33"/>
  <c r="D158" i="33"/>
  <c r="O156" i="33"/>
  <c r="N156" i="33"/>
  <c r="L156" i="33"/>
  <c r="K156" i="33"/>
  <c r="K152" i="33" s="1"/>
  <c r="J156" i="33"/>
  <c r="I156" i="33"/>
  <c r="G156" i="33"/>
  <c r="E156" i="33"/>
  <c r="W155" i="33"/>
  <c r="R155" i="33"/>
  <c r="M155" i="33"/>
  <c r="F155" i="33"/>
  <c r="K143" i="33"/>
  <c r="J143" i="33"/>
  <c r="I143" i="33"/>
  <c r="F143" i="33"/>
  <c r="E143" i="33"/>
  <c r="D143" i="33"/>
  <c r="K142" i="33"/>
  <c r="J142" i="33"/>
  <c r="I142" i="33"/>
  <c r="F142" i="33"/>
  <c r="E142" i="33"/>
  <c r="D142" i="33"/>
  <c r="K141" i="33"/>
  <c r="J141" i="33"/>
  <c r="I141" i="33"/>
  <c r="F141" i="33"/>
  <c r="E141" i="33"/>
  <c r="D141" i="33"/>
  <c r="K140" i="33"/>
  <c r="J140" i="33"/>
  <c r="I140" i="33"/>
  <c r="F140" i="33"/>
  <c r="E140" i="33"/>
  <c r="D140" i="33"/>
  <c r="K137" i="33"/>
  <c r="J137" i="33"/>
  <c r="I137" i="33"/>
  <c r="F137" i="33"/>
  <c r="E137" i="33"/>
  <c r="D137" i="33"/>
  <c r="D138" i="33" s="1"/>
  <c r="G133" i="33"/>
  <c r="U131" i="33"/>
  <c r="K131" i="33"/>
  <c r="J131" i="33"/>
  <c r="I131" i="33"/>
  <c r="P130" i="33"/>
  <c r="O130" i="33"/>
  <c r="S130" i="33"/>
  <c r="O126" i="33"/>
  <c r="K116" i="33"/>
  <c r="J116" i="33"/>
  <c r="I116" i="33"/>
  <c r="P115" i="33"/>
  <c r="O115" i="33"/>
  <c r="M115" i="33"/>
  <c r="H115" i="33"/>
  <c r="K99" i="33"/>
  <c r="K101" i="33" s="1"/>
  <c r="J99" i="33"/>
  <c r="J101" i="33" s="1"/>
  <c r="I99" i="33"/>
  <c r="G99" i="33"/>
  <c r="F99" i="33"/>
  <c r="F101" i="33" s="1"/>
  <c r="E99" i="33"/>
  <c r="E101" i="33" s="1"/>
  <c r="D99" i="33"/>
  <c r="V98" i="33"/>
  <c r="U98" i="33"/>
  <c r="T98" i="33"/>
  <c r="S98" i="33"/>
  <c r="P98" i="33"/>
  <c r="O98" i="33"/>
  <c r="N98" i="33"/>
  <c r="L98" i="33"/>
  <c r="K97" i="33"/>
  <c r="J97" i="33"/>
  <c r="I97" i="33"/>
  <c r="G97" i="33"/>
  <c r="F97" i="33"/>
  <c r="E97" i="33"/>
  <c r="D97" i="33"/>
  <c r="K96" i="33"/>
  <c r="J96" i="33"/>
  <c r="I96" i="33"/>
  <c r="P95" i="33"/>
  <c r="O95" i="33"/>
  <c r="S95" i="33"/>
  <c r="Q95" i="33"/>
  <c r="V95" i="33" s="1"/>
  <c r="V93" i="33"/>
  <c r="K92" i="33"/>
  <c r="J92" i="33"/>
  <c r="I92" i="33"/>
  <c r="I93" i="33" s="1"/>
  <c r="G92" i="33"/>
  <c r="G93" i="33" s="1"/>
  <c r="F92" i="33"/>
  <c r="F93" i="33" s="1"/>
  <c r="E92" i="33"/>
  <c r="D92" i="33"/>
  <c r="R91" i="33"/>
  <c r="K91" i="33"/>
  <c r="J91" i="33"/>
  <c r="I91" i="33"/>
  <c r="G91" i="33"/>
  <c r="F91" i="33"/>
  <c r="E91" i="33"/>
  <c r="D91" i="33"/>
  <c r="F89" i="33"/>
  <c r="E89" i="33"/>
  <c r="D89" i="33"/>
  <c r="K88" i="33"/>
  <c r="J88" i="33"/>
  <c r="I88" i="33"/>
  <c r="G88" i="33"/>
  <c r="F88" i="33"/>
  <c r="E88" i="33"/>
  <c r="D88" i="33"/>
  <c r="Q86" i="33"/>
  <c r="S86" i="33" s="1"/>
  <c r="T86" i="33" s="1"/>
  <c r="U86" i="33" s="1"/>
  <c r="V86" i="33" s="1"/>
  <c r="K82" i="33"/>
  <c r="P82" i="33" s="1"/>
  <c r="U82" i="33" s="1"/>
  <c r="J82" i="33"/>
  <c r="N82" i="33"/>
  <c r="S82" i="33" s="1"/>
  <c r="G89" i="33"/>
  <c r="P81" i="33"/>
  <c r="O81" i="33"/>
  <c r="L81" i="33"/>
  <c r="K81" i="33"/>
  <c r="J81" i="33"/>
  <c r="I81" i="33"/>
  <c r="R80" i="33"/>
  <c r="K80" i="33"/>
  <c r="J80" i="33"/>
  <c r="I80" i="33"/>
  <c r="G80" i="33"/>
  <c r="F80" i="33"/>
  <c r="E80" i="33"/>
  <c r="D80" i="33"/>
  <c r="Q81" i="33"/>
  <c r="K64" i="33"/>
  <c r="J64" i="33"/>
  <c r="I64" i="33"/>
  <c r="G64" i="33"/>
  <c r="F64" i="33"/>
  <c r="E64" i="33"/>
  <c r="D64" i="33"/>
  <c r="L63" i="33"/>
  <c r="K62" i="33"/>
  <c r="J62" i="33"/>
  <c r="I62" i="33"/>
  <c r="G62" i="33"/>
  <c r="F62" i="33"/>
  <c r="E62" i="33"/>
  <c r="D62" i="33"/>
  <c r="K61" i="33"/>
  <c r="J61" i="33"/>
  <c r="I61" i="33"/>
  <c r="P60" i="33"/>
  <c r="P11" i="33" s="1"/>
  <c r="O60" i="33"/>
  <c r="S60" i="33"/>
  <c r="Q60" i="33"/>
  <c r="V58" i="33"/>
  <c r="U58" i="33"/>
  <c r="T58" i="33"/>
  <c r="K57" i="33"/>
  <c r="J57" i="33"/>
  <c r="I57" i="33"/>
  <c r="G57" i="33"/>
  <c r="G58" i="33" s="1"/>
  <c r="F57" i="33"/>
  <c r="F58" i="33" s="1"/>
  <c r="E57" i="33"/>
  <c r="E58" i="33" s="1"/>
  <c r="D57" i="33"/>
  <c r="K56" i="33"/>
  <c r="J56" i="33"/>
  <c r="I56" i="33"/>
  <c r="G56" i="33"/>
  <c r="F56" i="33"/>
  <c r="E56" i="33"/>
  <c r="D56" i="33"/>
  <c r="L57" i="33"/>
  <c r="L58" i="33" s="1"/>
  <c r="F54" i="33"/>
  <c r="E54" i="33"/>
  <c r="D54" i="33"/>
  <c r="K53" i="33"/>
  <c r="J53" i="33"/>
  <c r="I53" i="33"/>
  <c r="G53" i="33"/>
  <c r="F53" i="33"/>
  <c r="E53" i="33"/>
  <c r="D53" i="33"/>
  <c r="H52" i="33"/>
  <c r="O51" i="33"/>
  <c r="P51" i="33" s="1"/>
  <c r="Q51" i="33" s="1"/>
  <c r="S51" i="33" s="1"/>
  <c r="T51" i="33" s="1"/>
  <c r="U51" i="33" s="1"/>
  <c r="V51" i="33" s="1"/>
  <c r="G54" i="33"/>
  <c r="O47" i="33"/>
  <c r="T47" i="33" s="1"/>
  <c r="L47" i="33"/>
  <c r="Q47" i="33" s="1"/>
  <c r="V47" i="33" s="1"/>
  <c r="K47" i="33"/>
  <c r="P47" i="33" s="1"/>
  <c r="U47" i="33" s="1"/>
  <c r="P46" i="33"/>
  <c r="O46" i="33"/>
  <c r="N46" i="33"/>
  <c r="L46" i="33"/>
  <c r="K46" i="33"/>
  <c r="J46" i="33"/>
  <c r="J54" i="33" s="1"/>
  <c r="I46" i="33"/>
  <c r="K45" i="33"/>
  <c r="J45" i="33"/>
  <c r="I45" i="33"/>
  <c r="G45" i="33"/>
  <c r="F45" i="33"/>
  <c r="E45" i="33"/>
  <c r="D45" i="33"/>
  <c r="L39" i="33"/>
  <c r="N39" i="33" s="1"/>
  <c r="O39" i="33" s="1"/>
  <c r="P39" i="33" s="1"/>
  <c r="Q39" i="33" s="1"/>
  <c r="H39" i="33"/>
  <c r="L32" i="33"/>
  <c r="J32" i="33"/>
  <c r="I32" i="33"/>
  <c r="G32" i="33"/>
  <c r="D32" i="33"/>
  <c r="G30" i="33"/>
  <c r="G28" i="33"/>
  <c r="G26" i="33"/>
  <c r="G25" i="33"/>
  <c r="W24" i="33"/>
  <c r="R24" i="33"/>
  <c r="M24" i="33"/>
  <c r="G24" i="33"/>
  <c r="M20" i="33"/>
  <c r="G20" i="33"/>
  <c r="G143" i="33" s="1"/>
  <c r="K19" i="33"/>
  <c r="J19" i="33"/>
  <c r="I19" i="33"/>
  <c r="H19" i="33"/>
  <c r="F19" i="33"/>
  <c r="E19" i="33"/>
  <c r="D19" i="33"/>
  <c r="G18" i="33"/>
  <c r="G17" i="33"/>
  <c r="G16" i="33"/>
  <c r="G15" i="33"/>
  <c r="G14" i="33"/>
  <c r="G13" i="33"/>
  <c r="K12" i="33"/>
  <c r="J12" i="33"/>
  <c r="I12" i="33"/>
  <c r="H12" i="33"/>
  <c r="F12" i="33"/>
  <c r="E12" i="33"/>
  <c r="D12" i="33"/>
  <c r="M11" i="33"/>
  <c r="G11" i="33"/>
  <c r="G142" i="33" s="1"/>
  <c r="G10" i="33"/>
  <c r="G141" i="33" s="1"/>
  <c r="G9" i="33"/>
  <c r="G140" i="33" s="1"/>
  <c r="Q133" i="33" l="1"/>
  <c r="S133" i="33" s="1"/>
  <c r="Q135" i="33"/>
  <c r="S135" i="33" s="1"/>
  <c r="H120" i="33"/>
  <c r="H123" i="33"/>
  <c r="H127" i="33"/>
  <c r="H118" i="33"/>
  <c r="M118" i="33"/>
  <c r="M120" i="33"/>
  <c r="M123" i="33"/>
  <c r="M127" i="33"/>
  <c r="M128" i="33" s="1"/>
  <c r="O117" i="33"/>
  <c r="O119" i="33"/>
  <c r="O122" i="33"/>
  <c r="U115" i="33"/>
  <c r="U122" i="33" s="1"/>
  <c r="P117" i="33"/>
  <c r="P119" i="33"/>
  <c r="P122" i="33"/>
  <c r="V123" i="33"/>
  <c r="R95" i="33"/>
  <c r="H80" i="33"/>
  <c r="D112" i="33"/>
  <c r="H99" i="33"/>
  <c r="M80" i="33"/>
  <c r="R60" i="33"/>
  <c r="D101" i="33"/>
  <c r="D108" i="33"/>
  <c r="D105" i="33"/>
  <c r="I108" i="33"/>
  <c r="I101" i="33"/>
  <c r="G108" i="33"/>
  <c r="G101" i="33"/>
  <c r="E105" i="33"/>
  <c r="E108" i="33"/>
  <c r="F105" i="33"/>
  <c r="F108" i="33"/>
  <c r="J105" i="33"/>
  <c r="J108" i="33"/>
  <c r="K105" i="33"/>
  <c r="K108" i="33"/>
  <c r="G105" i="33"/>
  <c r="I105" i="33"/>
  <c r="I112" i="33" s="1"/>
  <c r="G153" i="33"/>
  <c r="D66" i="33"/>
  <c r="D70" i="33"/>
  <c r="D73" i="33"/>
  <c r="E73" i="33"/>
  <c r="E70" i="33"/>
  <c r="E66" i="33"/>
  <c r="E76" i="33" s="1"/>
  <c r="F70" i="33"/>
  <c r="F73" i="33"/>
  <c r="F66" i="33"/>
  <c r="G70" i="33"/>
  <c r="G66" i="33"/>
  <c r="G73" i="33"/>
  <c r="I66" i="33"/>
  <c r="I70" i="33"/>
  <c r="I73" i="33"/>
  <c r="J73" i="33"/>
  <c r="J66" i="33"/>
  <c r="J70" i="33"/>
  <c r="K73" i="33"/>
  <c r="K66" i="33"/>
  <c r="K70" i="33"/>
  <c r="E32" i="33"/>
  <c r="F32" i="33"/>
  <c r="K93" i="33"/>
  <c r="M91" i="33"/>
  <c r="E21" i="33"/>
  <c r="G137" i="33"/>
  <c r="G138" i="33" s="1"/>
  <c r="J153" i="33"/>
  <c r="J89" i="33"/>
  <c r="I152" i="33"/>
  <c r="G127" i="33"/>
  <c r="V131" i="33"/>
  <c r="I153" i="33"/>
  <c r="K153" i="33"/>
  <c r="E171" i="33"/>
  <c r="F171" i="33"/>
  <c r="I171" i="33"/>
  <c r="F63" i="33"/>
  <c r="G19" i="33"/>
  <c r="M116" i="33"/>
  <c r="J171" i="33"/>
  <c r="H155" i="33"/>
  <c r="D159" i="33"/>
  <c r="D58" i="33"/>
  <c r="I89" i="33"/>
  <c r="T95" i="33"/>
  <c r="E138" i="33"/>
  <c r="U95" i="33"/>
  <c r="F138" i="33"/>
  <c r="E93" i="33"/>
  <c r="D93" i="33"/>
  <c r="O11" i="33"/>
  <c r="I58" i="33"/>
  <c r="G169" i="33"/>
  <c r="K127" i="33"/>
  <c r="J58" i="33"/>
  <c r="K138" i="33"/>
  <c r="K169" i="33"/>
  <c r="K58" i="33"/>
  <c r="E153" i="33"/>
  <c r="F98" i="33"/>
  <c r="J93" i="33"/>
  <c r="G152" i="33"/>
  <c r="F156" i="33"/>
  <c r="H156" i="33" s="1"/>
  <c r="L152" i="33"/>
  <c r="L153" i="33"/>
  <c r="M30" i="33"/>
  <c r="M39" i="33"/>
  <c r="K54" i="33"/>
  <c r="J98" i="33"/>
  <c r="E152" i="33"/>
  <c r="L82" i="33"/>
  <c r="I54" i="33"/>
  <c r="H45" i="33"/>
  <c r="F127" i="33"/>
  <c r="E98" i="33"/>
  <c r="I127" i="33"/>
  <c r="G98" i="33"/>
  <c r="M32" i="33"/>
  <c r="I98" i="33"/>
  <c r="H21" i="33"/>
  <c r="M26" i="33"/>
  <c r="D63" i="33"/>
  <c r="P87" i="33"/>
  <c r="E63" i="33"/>
  <c r="R98" i="33"/>
  <c r="J146" i="33"/>
  <c r="J21" i="33"/>
  <c r="K63" i="33"/>
  <c r="I146" i="33"/>
  <c r="I21" i="33"/>
  <c r="D21" i="33"/>
  <c r="O52" i="33"/>
  <c r="P52" i="33"/>
  <c r="F21" i="33"/>
  <c r="G12" i="33"/>
  <c r="M45" i="33"/>
  <c r="T60" i="33"/>
  <c r="J63" i="33"/>
  <c r="H64" i="33"/>
  <c r="L92" i="33"/>
  <c r="L93" i="33" s="1"/>
  <c r="L97" i="33"/>
  <c r="K146" i="33"/>
  <c r="N47" i="33"/>
  <c r="V60" i="33"/>
  <c r="L62" i="33"/>
  <c r="H91" i="33"/>
  <c r="D98" i="33"/>
  <c r="H56" i="33"/>
  <c r="K89" i="33"/>
  <c r="Q46" i="33"/>
  <c r="G63" i="33"/>
  <c r="I63" i="33"/>
  <c r="K21" i="33"/>
  <c r="M56" i="33"/>
  <c r="L142" i="33"/>
  <c r="K98" i="33"/>
  <c r="P156" i="33"/>
  <c r="T130" i="33"/>
  <c r="O82" i="33"/>
  <c r="O87" i="33" s="1"/>
  <c r="L143" i="33"/>
  <c r="G112" i="33"/>
  <c r="E127" i="33"/>
  <c r="U60" i="33"/>
  <c r="Q115" i="33"/>
  <c r="J127" i="33"/>
  <c r="S115" i="33"/>
  <c r="T115" i="33"/>
  <c r="P126" i="33"/>
  <c r="I138" i="33"/>
  <c r="L169" i="33"/>
  <c r="Q130" i="33"/>
  <c r="J138" i="33"/>
  <c r="U130" i="33"/>
  <c r="H166" i="33"/>
  <c r="H164" i="33"/>
  <c r="D169" i="33"/>
  <c r="J152" i="33"/>
  <c r="M156" i="33"/>
  <c r="R135" i="33" l="1"/>
  <c r="T135" i="33"/>
  <c r="R133" i="33"/>
  <c r="T133" i="33"/>
  <c r="R130" i="33"/>
  <c r="E27" i="33"/>
  <c r="E149" i="33" s="1"/>
  <c r="Q117" i="33"/>
  <c r="R117" i="33" s="1"/>
  <c r="Q119" i="33"/>
  <c r="R119" i="33" s="1"/>
  <c r="Q122" i="33"/>
  <c r="R122" i="33" s="1"/>
  <c r="T117" i="33"/>
  <c r="T119" i="33"/>
  <c r="T122" i="33"/>
  <c r="S117" i="33"/>
  <c r="S119" i="33"/>
  <c r="S122" i="33"/>
  <c r="U117" i="33"/>
  <c r="U119" i="33"/>
  <c r="H98" i="33"/>
  <c r="W60" i="33"/>
  <c r="O102" i="33"/>
  <c r="P102" i="33"/>
  <c r="W95" i="33"/>
  <c r="M98" i="33"/>
  <c r="H108" i="33"/>
  <c r="H105" i="33"/>
  <c r="H101" i="33"/>
  <c r="P67" i="33"/>
  <c r="O67" i="33"/>
  <c r="K76" i="33"/>
  <c r="P142" i="33"/>
  <c r="H32" i="33"/>
  <c r="E77" i="33"/>
  <c r="O142" i="33"/>
  <c r="E147" i="33"/>
  <c r="I22" i="33"/>
  <c r="D128" i="33"/>
  <c r="J174" i="33"/>
  <c r="J22" i="33"/>
  <c r="H147" i="33"/>
  <c r="E174" i="33"/>
  <c r="E22" i="33"/>
  <c r="I128" i="33"/>
  <c r="F128" i="33"/>
  <c r="F174" i="33"/>
  <c r="F22" i="33"/>
  <c r="F153" i="33"/>
  <c r="F152" i="33"/>
  <c r="K171" i="33"/>
  <c r="H27" i="33"/>
  <c r="I113" i="33"/>
  <c r="K128" i="33"/>
  <c r="E128" i="33"/>
  <c r="G113" i="33"/>
  <c r="G171" i="33"/>
  <c r="G128" i="33"/>
  <c r="I174" i="33"/>
  <c r="D171" i="33"/>
  <c r="T82" i="33"/>
  <c r="P89" i="33"/>
  <c r="S47" i="33"/>
  <c r="N142" i="33"/>
  <c r="S11" i="33"/>
  <c r="Q82" i="33"/>
  <c r="Q87" i="33" s="1"/>
  <c r="L171" i="33"/>
  <c r="R115" i="33"/>
  <c r="M63" i="33"/>
  <c r="Q52" i="33"/>
  <c r="O30" i="33"/>
  <c r="H63" i="33"/>
  <c r="H169" i="33"/>
  <c r="S81" i="33"/>
  <c r="O79" i="33"/>
  <c r="J128" i="33"/>
  <c r="K147" i="33"/>
  <c r="K27" i="33"/>
  <c r="Q126" i="33"/>
  <c r="U11" i="33"/>
  <c r="Q156" i="33"/>
  <c r="S154" i="33"/>
  <c r="N92" i="33"/>
  <c r="N93" i="33" s="1"/>
  <c r="O90" i="33"/>
  <c r="N97" i="33"/>
  <c r="O89" i="33"/>
  <c r="N89" i="33"/>
  <c r="N88" i="33"/>
  <c r="G21" i="33"/>
  <c r="N63" i="33"/>
  <c r="J147" i="33"/>
  <c r="J27" i="33"/>
  <c r="O111" i="33"/>
  <c r="F147" i="33"/>
  <c r="F27" i="33"/>
  <c r="P54" i="33"/>
  <c r="P9" i="33"/>
  <c r="V115" i="33"/>
  <c r="Q11" i="33"/>
  <c r="Q142" i="33" s="1"/>
  <c r="V130" i="33"/>
  <c r="T11" i="33"/>
  <c r="I147" i="33"/>
  <c r="I27" i="33"/>
  <c r="L54" i="33"/>
  <c r="M52" i="33"/>
  <c r="L53" i="33"/>
  <c r="O54" i="33"/>
  <c r="O9" i="33"/>
  <c r="D147" i="33"/>
  <c r="D27" i="33"/>
  <c r="W130" i="33" l="1"/>
  <c r="U133" i="33"/>
  <c r="U135" i="33"/>
  <c r="R131" i="33"/>
  <c r="E29" i="33"/>
  <c r="F23" i="33"/>
  <c r="R123" i="33"/>
  <c r="R120" i="33"/>
  <c r="R118" i="33"/>
  <c r="R126" i="33"/>
  <c r="V117" i="33"/>
  <c r="W117" i="33" s="1"/>
  <c r="V119" i="33"/>
  <c r="W119" i="33" s="1"/>
  <c r="R116" i="33"/>
  <c r="V122" i="33"/>
  <c r="W122" i="33" s="1"/>
  <c r="Q102" i="33"/>
  <c r="R87" i="33"/>
  <c r="E112" i="33"/>
  <c r="Q67" i="33"/>
  <c r="D113" i="33"/>
  <c r="J23" i="33"/>
  <c r="J148" i="33" s="1"/>
  <c r="K77" i="33"/>
  <c r="H128" i="33"/>
  <c r="F112" i="33"/>
  <c r="J112" i="33"/>
  <c r="K112" i="33"/>
  <c r="I76" i="33"/>
  <c r="D76" i="33"/>
  <c r="G76" i="33"/>
  <c r="G144" i="33" s="1"/>
  <c r="I23" i="33"/>
  <c r="J76" i="33"/>
  <c r="F76" i="33"/>
  <c r="D174" i="33"/>
  <c r="D22" i="33"/>
  <c r="H29" i="33"/>
  <c r="H149" i="33"/>
  <c r="E23" i="33"/>
  <c r="K22" i="33"/>
  <c r="K174" i="33"/>
  <c r="G174" i="33"/>
  <c r="G22" i="33"/>
  <c r="S142" i="33"/>
  <c r="T142" i="33"/>
  <c r="U142" i="33"/>
  <c r="S46" i="33"/>
  <c r="S52" i="33" s="1"/>
  <c r="V82" i="33"/>
  <c r="O44" i="33"/>
  <c r="T46" i="33" s="1"/>
  <c r="R156" i="33"/>
  <c r="L22" i="33"/>
  <c r="L174" i="33"/>
  <c r="W115" i="33"/>
  <c r="M10" i="33"/>
  <c r="S87" i="33"/>
  <c r="O88" i="33"/>
  <c r="R11" i="33"/>
  <c r="N54" i="33"/>
  <c r="N53" i="33"/>
  <c r="O140" i="33"/>
  <c r="R52" i="33"/>
  <c r="Q54" i="33"/>
  <c r="P30" i="33"/>
  <c r="Q9" i="33"/>
  <c r="Q89" i="33"/>
  <c r="T81" i="33"/>
  <c r="P79" i="33"/>
  <c r="L89" i="33"/>
  <c r="L88" i="33"/>
  <c r="S126" i="33"/>
  <c r="P111" i="33"/>
  <c r="O20" i="33"/>
  <c r="O143" i="33" s="1"/>
  <c r="J149" i="33"/>
  <c r="J29" i="33"/>
  <c r="D149" i="33"/>
  <c r="D29" i="33"/>
  <c r="M14" i="33"/>
  <c r="P140" i="33"/>
  <c r="P90" i="33"/>
  <c r="O97" i="33"/>
  <c r="O92" i="33"/>
  <c r="F149" i="33"/>
  <c r="F29" i="33"/>
  <c r="O63" i="33"/>
  <c r="N57" i="33"/>
  <c r="N58" i="33" s="1"/>
  <c r="O55" i="33"/>
  <c r="N62" i="33"/>
  <c r="T154" i="33"/>
  <c r="S156" i="33"/>
  <c r="K149" i="33"/>
  <c r="K29" i="33"/>
  <c r="I149" i="33"/>
  <c r="I29" i="33"/>
  <c r="V11" i="33"/>
  <c r="N143" i="33"/>
  <c r="G147" i="33"/>
  <c r="G27" i="33"/>
  <c r="V135" i="33" l="1"/>
  <c r="W135" i="33" s="1"/>
  <c r="V133" i="33"/>
  <c r="W133" i="33" s="1"/>
  <c r="W131" i="33"/>
  <c r="E31" i="33"/>
  <c r="J33" i="33"/>
  <c r="F33" i="33"/>
  <c r="F148" i="33"/>
  <c r="W120" i="33"/>
  <c r="W123" i="33"/>
  <c r="W118" i="33"/>
  <c r="W116" i="33"/>
  <c r="H112" i="33"/>
  <c r="H113" i="33" s="1"/>
  <c r="I148" i="33"/>
  <c r="I33" i="33"/>
  <c r="I38" i="33" s="1"/>
  <c r="S102" i="33"/>
  <c r="S67" i="33"/>
  <c r="D23" i="33"/>
  <c r="E113" i="33"/>
  <c r="E144" i="33"/>
  <c r="J113" i="33"/>
  <c r="K113" i="33"/>
  <c r="F113" i="33"/>
  <c r="H31" i="33"/>
  <c r="K144" i="33"/>
  <c r="I144" i="33"/>
  <c r="I77" i="33"/>
  <c r="F77" i="33"/>
  <c r="F144" i="33"/>
  <c r="J77" i="33"/>
  <c r="J144" i="33"/>
  <c r="G77" i="33"/>
  <c r="D144" i="33"/>
  <c r="H76" i="33"/>
  <c r="D77" i="33"/>
  <c r="G23" i="33"/>
  <c r="H22" i="33"/>
  <c r="H23" i="33" s="1"/>
  <c r="K23" i="33"/>
  <c r="E33" i="33"/>
  <c r="E148" i="33"/>
  <c r="M22" i="33"/>
  <c r="S54" i="33"/>
  <c r="S9" i="33"/>
  <c r="P44" i="33"/>
  <c r="O53" i="33"/>
  <c r="Q140" i="33"/>
  <c r="O94" i="33"/>
  <c r="N99" i="33"/>
  <c r="M15" i="33"/>
  <c r="M18" i="33"/>
  <c r="T87" i="33"/>
  <c r="T102" i="33" s="1"/>
  <c r="S89" i="33"/>
  <c r="W11" i="33"/>
  <c r="Q63" i="33"/>
  <c r="N140" i="33"/>
  <c r="R45" i="33"/>
  <c r="R9" i="33"/>
  <c r="T52" i="33"/>
  <c r="Q30" i="33"/>
  <c r="Q79" i="33"/>
  <c r="U81" i="33"/>
  <c r="P88" i="33"/>
  <c r="M9" i="33"/>
  <c r="L140" i="33"/>
  <c r="P55" i="33"/>
  <c r="O62" i="33"/>
  <c r="O57" i="33"/>
  <c r="P97" i="33"/>
  <c r="Q90" i="33"/>
  <c r="P92" i="33"/>
  <c r="J31" i="33"/>
  <c r="Q111" i="33"/>
  <c r="P20" i="33"/>
  <c r="M13" i="33"/>
  <c r="M17" i="33"/>
  <c r="T126" i="33"/>
  <c r="Q132" i="33"/>
  <c r="G29" i="33"/>
  <c r="G149" i="33"/>
  <c r="I31" i="33"/>
  <c r="T156" i="33"/>
  <c r="U154" i="33"/>
  <c r="S39" i="33"/>
  <c r="F31" i="33"/>
  <c r="D31" i="33"/>
  <c r="P63" i="33"/>
  <c r="R39" i="33"/>
  <c r="K31" i="33"/>
  <c r="L146" i="33"/>
  <c r="M16" i="33"/>
  <c r="S45" i="33"/>
  <c r="L137" i="33"/>
  <c r="V142" i="33"/>
  <c r="R132" i="33" l="1"/>
  <c r="E37" i="33"/>
  <c r="E36" i="33"/>
  <c r="J38" i="33"/>
  <c r="F38" i="33"/>
  <c r="D33" i="33"/>
  <c r="D148" i="33"/>
  <c r="H36" i="33"/>
  <c r="H37" i="33"/>
  <c r="G148" i="33"/>
  <c r="G33" i="33"/>
  <c r="G38" i="33" s="1"/>
  <c r="R90" i="33"/>
  <c r="R111" i="33"/>
  <c r="R79" i="33"/>
  <c r="N108" i="33"/>
  <c r="N101" i="33"/>
  <c r="T67" i="33"/>
  <c r="N105" i="33"/>
  <c r="H77" i="33"/>
  <c r="P53" i="33"/>
  <c r="H148" i="33"/>
  <c r="H33" i="33"/>
  <c r="E38" i="33"/>
  <c r="K33" i="33"/>
  <c r="K148" i="33"/>
  <c r="S140" i="33"/>
  <c r="R56" i="33"/>
  <c r="R63" i="33" s="1"/>
  <c r="U46" i="33"/>
  <c r="U52" i="33" s="1"/>
  <c r="Q44" i="33"/>
  <c r="N12" i="33"/>
  <c r="N64" i="33"/>
  <c r="N76" i="33" s="1"/>
  <c r="N77" i="33" s="1"/>
  <c r="T9" i="33"/>
  <c r="R26" i="33"/>
  <c r="O99" i="33"/>
  <c r="P94" i="33"/>
  <c r="U87" i="33"/>
  <c r="U102" i="33" s="1"/>
  <c r="T89" i="33"/>
  <c r="S56" i="33"/>
  <c r="O59" i="33"/>
  <c r="T54" i="33"/>
  <c r="S30" i="33"/>
  <c r="R30" i="33"/>
  <c r="M12" i="33"/>
  <c r="S79" i="33"/>
  <c r="V81" i="33"/>
  <c r="Q88" i="33"/>
  <c r="L127" i="33"/>
  <c r="T39" i="33"/>
  <c r="D36" i="33"/>
  <c r="D37" i="33"/>
  <c r="M19" i="33"/>
  <c r="P62" i="33"/>
  <c r="P57" i="33"/>
  <c r="Q55" i="33"/>
  <c r="L19" i="33"/>
  <c r="T45" i="33"/>
  <c r="L138" i="33"/>
  <c r="S132" i="33"/>
  <c r="I36" i="33"/>
  <c r="I37" i="33"/>
  <c r="P143" i="33"/>
  <c r="S111" i="33"/>
  <c r="Q20" i="33"/>
  <c r="J37" i="33"/>
  <c r="J36" i="33"/>
  <c r="V154" i="33"/>
  <c r="U156" i="33"/>
  <c r="F37" i="33"/>
  <c r="F36" i="33"/>
  <c r="U126" i="33"/>
  <c r="Q97" i="33"/>
  <c r="S90" i="33"/>
  <c r="Q92" i="33"/>
  <c r="G31" i="33"/>
  <c r="K36" i="33"/>
  <c r="K37" i="33"/>
  <c r="D38" i="33" l="1"/>
  <c r="I150" i="33" s="1"/>
  <c r="P105" i="33"/>
  <c r="O104" i="33"/>
  <c r="S63" i="33"/>
  <c r="O100" i="33"/>
  <c r="P108" i="33"/>
  <c r="O107" i="33"/>
  <c r="R44" i="33"/>
  <c r="R55" i="33"/>
  <c r="U67" i="33"/>
  <c r="N66" i="33"/>
  <c r="N70" i="33"/>
  <c r="P70" i="33" s="1"/>
  <c r="Q70" i="33" s="1"/>
  <c r="S70" i="33" s="1"/>
  <c r="T70" i="33" s="1"/>
  <c r="U70" i="33" s="1"/>
  <c r="V70" i="33" s="1"/>
  <c r="N73" i="33"/>
  <c r="O73" i="33" s="1"/>
  <c r="J150" i="33"/>
  <c r="H38" i="33"/>
  <c r="K38" i="33"/>
  <c r="S44" i="33"/>
  <c r="Q53" i="33"/>
  <c r="O64" i="33"/>
  <c r="O10" i="33"/>
  <c r="O12" i="33" s="1"/>
  <c r="V46" i="33"/>
  <c r="V52" i="33" s="1"/>
  <c r="W52" i="33" s="1"/>
  <c r="U9" i="33"/>
  <c r="U54" i="33"/>
  <c r="N141" i="33"/>
  <c r="T140" i="33"/>
  <c r="Q94" i="33"/>
  <c r="R94" i="33" s="1"/>
  <c r="P99" i="33"/>
  <c r="V87" i="33"/>
  <c r="U89" i="33"/>
  <c r="T56" i="33"/>
  <c r="P59" i="33"/>
  <c r="U45" i="33"/>
  <c r="T30" i="33"/>
  <c r="M146" i="33"/>
  <c r="M21" i="33"/>
  <c r="S88" i="33"/>
  <c r="T79" i="33"/>
  <c r="L128" i="33"/>
  <c r="T90" i="33"/>
  <c r="S92" i="33"/>
  <c r="S97" i="33"/>
  <c r="N146" i="33"/>
  <c r="V156" i="33"/>
  <c r="T132" i="33"/>
  <c r="L21" i="33"/>
  <c r="Q62" i="33"/>
  <c r="Q57" i="33"/>
  <c r="S55" i="33"/>
  <c r="R20" i="33"/>
  <c r="U39" i="33"/>
  <c r="T111" i="33"/>
  <c r="S20" i="33"/>
  <c r="G37" i="33"/>
  <c r="G36" i="33"/>
  <c r="V126" i="33"/>
  <c r="W126" i="33" s="1"/>
  <c r="Q143" i="33"/>
  <c r="Q101" i="33" l="1"/>
  <c r="P100" i="33"/>
  <c r="Q108" i="33"/>
  <c r="P107" i="33"/>
  <c r="Q105" i="33"/>
  <c r="P104" i="33"/>
  <c r="V102" i="33"/>
  <c r="W102" i="33" s="1"/>
  <c r="W87" i="33"/>
  <c r="P73" i="33"/>
  <c r="O72" i="33"/>
  <c r="O65" i="33"/>
  <c r="V54" i="33"/>
  <c r="V67" i="33"/>
  <c r="W67" i="33" s="1"/>
  <c r="O69" i="33"/>
  <c r="O141" i="33"/>
  <c r="K150" i="33"/>
  <c r="W156" i="33"/>
  <c r="S53" i="33"/>
  <c r="T44" i="33"/>
  <c r="U140" i="33"/>
  <c r="P10" i="33"/>
  <c r="P12" i="33" s="1"/>
  <c r="P64" i="33"/>
  <c r="V9" i="33"/>
  <c r="V45" i="33"/>
  <c r="W45" i="33" s="1"/>
  <c r="M147" i="33"/>
  <c r="S143" i="33"/>
  <c r="S94" i="33"/>
  <c r="O146" i="33"/>
  <c r="Q99" i="33"/>
  <c r="V89" i="33"/>
  <c r="U56" i="33"/>
  <c r="T63" i="33"/>
  <c r="Q59" i="33"/>
  <c r="U30" i="33"/>
  <c r="M23" i="33"/>
  <c r="U79" i="33"/>
  <c r="T88" i="33"/>
  <c r="U90" i="33"/>
  <c r="T92" i="33"/>
  <c r="T97" i="33"/>
  <c r="V39" i="33"/>
  <c r="U111" i="33"/>
  <c r="T20" i="33"/>
  <c r="T143" i="33" s="1"/>
  <c r="U132" i="33"/>
  <c r="S62" i="33"/>
  <c r="S57" i="33"/>
  <c r="T55" i="33"/>
  <c r="L147" i="33"/>
  <c r="L23" i="33"/>
  <c r="W68" i="33" l="1"/>
  <c r="W103" i="33"/>
  <c r="S105" i="33"/>
  <c r="Q104" i="33"/>
  <c r="S108" i="33"/>
  <c r="Q107" i="33"/>
  <c r="S101" i="33"/>
  <c r="Q100" i="33"/>
  <c r="R59" i="33"/>
  <c r="P65" i="33"/>
  <c r="P69" i="33"/>
  <c r="Q73" i="33"/>
  <c r="P72" i="33"/>
  <c r="T53" i="33"/>
  <c r="W39" i="33"/>
  <c r="W9" i="33"/>
  <c r="V140" i="33"/>
  <c r="Q64" i="33"/>
  <c r="U44" i="33"/>
  <c r="P141" i="33"/>
  <c r="Q10" i="33"/>
  <c r="Q12" i="33" s="1"/>
  <c r="M148" i="33"/>
  <c r="T94" i="33"/>
  <c r="R99" i="33"/>
  <c r="S99" i="33"/>
  <c r="V56" i="33"/>
  <c r="W56" i="33" s="1"/>
  <c r="W63" i="33" s="1"/>
  <c r="U63" i="33"/>
  <c r="S59" i="33"/>
  <c r="V30" i="33"/>
  <c r="W30" i="33" s="1"/>
  <c r="V79" i="33"/>
  <c r="U88" i="33"/>
  <c r="U97" i="33"/>
  <c r="U92" i="33"/>
  <c r="V90" i="33"/>
  <c r="V111" i="33"/>
  <c r="W111" i="33" s="1"/>
  <c r="U20" i="33"/>
  <c r="P146" i="33"/>
  <c r="V132" i="33"/>
  <c r="U55" i="33"/>
  <c r="T62" i="33"/>
  <c r="T57" i="33"/>
  <c r="L148" i="33"/>
  <c r="Q141" i="33" l="1"/>
  <c r="W132" i="33"/>
  <c r="T101" i="33"/>
  <c r="S100" i="33"/>
  <c r="T108" i="33"/>
  <c r="S107" i="33"/>
  <c r="T105" i="33"/>
  <c r="S104" i="33"/>
  <c r="W90" i="33"/>
  <c r="W79" i="33"/>
  <c r="R64" i="33"/>
  <c r="Q69" i="33"/>
  <c r="S73" i="33"/>
  <c r="Q72" i="33"/>
  <c r="S66" i="33"/>
  <c r="Q65" i="33"/>
  <c r="R65" i="33" s="1"/>
  <c r="R10" i="33"/>
  <c r="R12" i="33" s="1"/>
  <c r="V44" i="33"/>
  <c r="U53" i="33"/>
  <c r="S64" i="33"/>
  <c r="S10" i="33"/>
  <c r="U143" i="33"/>
  <c r="U94" i="33"/>
  <c r="T99" i="33"/>
  <c r="Q146" i="33"/>
  <c r="V63" i="33"/>
  <c r="T59" i="33"/>
  <c r="V88" i="33"/>
  <c r="V20" i="33"/>
  <c r="W20" i="33" s="1"/>
  <c r="V92" i="33"/>
  <c r="V97" i="33"/>
  <c r="U62" i="33"/>
  <c r="U57" i="33"/>
  <c r="V55" i="33"/>
  <c r="W44" i="33" l="1"/>
  <c r="U105" i="33"/>
  <c r="T104" i="33"/>
  <c r="R66" i="33"/>
  <c r="U108" i="33"/>
  <c r="T107" i="33"/>
  <c r="W55" i="33"/>
  <c r="U101" i="33"/>
  <c r="T100" i="33"/>
  <c r="S69" i="33"/>
  <c r="T66" i="33"/>
  <c r="S65" i="33"/>
  <c r="T73" i="33"/>
  <c r="S72" i="33"/>
  <c r="V53" i="33"/>
  <c r="S12" i="33"/>
  <c r="S141" i="33"/>
  <c r="W26" i="33"/>
  <c r="T64" i="33"/>
  <c r="T10" i="33"/>
  <c r="V94" i="33"/>
  <c r="W94" i="33" s="1"/>
  <c r="U99" i="33"/>
  <c r="U59" i="33"/>
  <c r="R146" i="33"/>
  <c r="V57" i="33"/>
  <c r="V62" i="33"/>
  <c r="V143" i="33"/>
  <c r="T141" i="33" l="1"/>
  <c r="V108" i="33"/>
  <c r="U107" i="33"/>
  <c r="V101" i="33"/>
  <c r="U100" i="33"/>
  <c r="V105" i="33"/>
  <c r="U104" i="33"/>
  <c r="T69" i="33"/>
  <c r="U73" i="33"/>
  <c r="T72" i="33"/>
  <c r="U66" i="33"/>
  <c r="T65" i="33"/>
  <c r="T12" i="33"/>
  <c r="S146" i="33"/>
  <c r="U64" i="33"/>
  <c r="U10" i="33"/>
  <c r="U141" i="33" s="1"/>
  <c r="V99" i="33"/>
  <c r="V59" i="33"/>
  <c r="V104" i="33" l="1"/>
  <c r="W104" i="33" s="1"/>
  <c r="W99" i="33"/>
  <c r="V100" i="33"/>
  <c r="W100" i="33" s="1"/>
  <c r="W59" i="33"/>
  <c r="V107" i="33"/>
  <c r="W107" i="33" s="1"/>
  <c r="T146" i="33"/>
  <c r="V66" i="33"/>
  <c r="U65" i="33"/>
  <c r="V73" i="33"/>
  <c r="U72" i="33"/>
  <c r="U69" i="33"/>
  <c r="U12" i="33"/>
  <c r="V64" i="33"/>
  <c r="W64" i="33" s="1"/>
  <c r="V10" i="33"/>
  <c r="W10" i="33" s="1"/>
  <c r="W12" i="33" s="1"/>
  <c r="M25" i="33"/>
  <c r="L27" i="33"/>
  <c r="W101" i="33" l="1"/>
  <c r="W105" i="33"/>
  <c r="W108" i="33"/>
  <c r="V69" i="33"/>
  <c r="W69" i="33" s="1"/>
  <c r="V72" i="33"/>
  <c r="W72" i="33" s="1"/>
  <c r="V65" i="33"/>
  <c r="W65" i="33" s="1"/>
  <c r="U146" i="33"/>
  <c r="V141" i="33"/>
  <c r="V12" i="33"/>
  <c r="W146" i="33"/>
  <c r="M27" i="33"/>
  <c r="W73" i="33" l="1"/>
  <c r="W70" i="33"/>
  <c r="W66" i="33"/>
  <c r="V146" i="33"/>
  <c r="M28" i="33"/>
  <c r="L33" i="33"/>
  <c r="L29" i="33"/>
  <c r="M29" i="33" l="1"/>
  <c r="M149" i="33"/>
  <c r="M33" i="33"/>
  <c r="L31" i="33"/>
  <c r="M31" i="33" l="1"/>
  <c r="L64" i="33" l="1"/>
  <c r="L73" i="33" l="1"/>
  <c r="L66" i="33"/>
  <c r="L70" i="33"/>
  <c r="M64" i="33"/>
  <c r="L76" i="33" l="1"/>
  <c r="M76" i="33" l="1"/>
  <c r="L77" i="33"/>
  <c r="M77" i="33" l="1"/>
  <c r="L99" i="33" l="1"/>
  <c r="L101" i="33" l="1"/>
  <c r="M99" i="33"/>
  <c r="L105" i="33"/>
  <c r="L108" i="33"/>
  <c r="L141" i="33"/>
  <c r="M101" i="33" l="1"/>
  <c r="M108" i="33"/>
  <c r="M105" i="33"/>
  <c r="L112" i="33" l="1"/>
  <c r="M112" i="33" s="1"/>
  <c r="M113" i="33" s="1"/>
  <c r="L144" i="33" l="1"/>
  <c r="L113" i="33"/>
  <c r="N169" i="33" l="1"/>
  <c r="N171" i="33" l="1"/>
  <c r="N22" i="33" l="1"/>
  <c r="N174" i="33"/>
  <c r="N32" i="33" l="1"/>
  <c r="L38" i="33" l="1"/>
  <c r="L150" i="33" l="1"/>
  <c r="M35" i="33"/>
  <c r="L36" i="33"/>
  <c r="M34" i="33"/>
  <c r="L37" i="33"/>
  <c r="M38" i="33" l="1"/>
  <c r="M37" i="33"/>
  <c r="M36" i="33"/>
  <c r="O35" i="33"/>
  <c r="O34" i="33"/>
  <c r="P35" i="33" l="1"/>
  <c r="P34" i="33"/>
  <c r="S152" i="33"/>
  <c r="M150" i="33"/>
  <c r="Q35" i="33" l="1"/>
  <c r="T152" i="33"/>
  <c r="U152" i="33" s="1"/>
  <c r="V152" i="33" s="1"/>
  <c r="Q34" i="33"/>
  <c r="S153" i="33"/>
  <c r="S34" i="33" l="1"/>
  <c r="S35" i="33"/>
  <c r="T153" i="33"/>
  <c r="U153" i="33" s="1"/>
  <c r="V153" i="33" l="1"/>
  <c r="T35" i="33"/>
  <c r="T34" i="33"/>
  <c r="U34" i="33" l="1"/>
  <c r="U35" i="33"/>
  <c r="V34" i="33" l="1"/>
  <c r="V35" i="33"/>
  <c r="N137" i="33" l="1"/>
  <c r="N19" i="33" l="1"/>
  <c r="N138" i="33"/>
  <c r="O16" i="33"/>
  <c r="N112" i="33"/>
  <c r="O137" i="33" l="1"/>
  <c r="O138" i="33"/>
  <c r="N21" i="33"/>
  <c r="N113" i="33"/>
  <c r="O110" i="33" l="1"/>
  <c r="O75" i="33"/>
  <c r="N23" i="33"/>
  <c r="N147" i="33"/>
  <c r="O14" i="33"/>
  <c r="N148" i="33" l="1"/>
  <c r="P16" i="33"/>
  <c r="O76" i="33"/>
  <c r="P137" i="33"/>
  <c r="R134" i="33"/>
  <c r="O112" i="33"/>
  <c r="R137" i="33" l="1"/>
  <c r="Q137" i="33"/>
  <c r="O113" i="33"/>
  <c r="R106" i="33"/>
  <c r="O77" i="33"/>
  <c r="P138" i="33"/>
  <c r="N27" i="33"/>
  <c r="N149" i="33" s="1"/>
  <c r="R71" i="33"/>
  <c r="R121" i="33"/>
  <c r="R138" i="33" l="1"/>
  <c r="R125" i="33"/>
  <c r="P110" i="33"/>
  <c r="P75" i="33"/>
  <c r="S149" i="33"/>
  <c r="P14" i="33"/>
  <c r="N29" i="33"/>
  <c r="Q138" i="33"/>
  <c r="Q16" i="33"/>
  <c r="R127" i="33" l="1"/>
  <c r="R128" i="33" s="1"/>
  <c r="T149" i="33"/>
  <c r="U149" i="33" s="1"/>
  <c r="P112" i="33"/>
  <c r="N33" i="33"/>
  <c r="P76" i="33"/>
  <c r="N31" i="33"/>
  <c r="R16" i="33"/>
  <c r="V149" i="33" l="1"/>
  <c r="P113" i="33"/>
  <c r="N38" i="33"/>
  <c r="N36" i="33"/>
  <c r="N37" i="33"/>
  <c r="R102" i="33"/>
  <c r="R107" i="33"/>
  <c r="R104" i="33"/>
  <c r="P77" i="33"/>
  <c r="R69" i="33"/>
  <c r="R72" i="33"/>
  <c r="R70" i="33" l="1"/>
  <c r="R108" i="33"/>
  <c r="R73" i="33"/>
  <c r="R105" i="33"/>
  <c r="R103" i="33"/>
  <c r="R100" i="33"/>
  <c r="Q110" i="33"/>
  <c r="Q75" i="33"/>
  <c r="R67" i="33"/>
  <c r="R68" i="33" s="1"/>
  <c r="N150" i="33"/>
  <c r="Q14" i="33"/>
  <c r="S16" i="33"/>
  <c r="S137" i="33"/>
  <c r="R110" i="33" l="1"/>
  <c r="R101" i="33"/>
  <c r="R75" i="33"/>
  <c r="Q112" i="33"/>
  <c r="Q76" i="33"/>
  <c r="S138" i="33"/>
  <c r="R14" i="33"/>
  <c r="T137" i="33" l="1"/>
  <c r="Q113" i="33"/>
  <c r="R112" i="33"/>
  <c r="Q77" i="33"/>
  <c r="R76" i="33"/>
  <c r="T16" i="33"/>
  <c r="T138" i="33" l="1"/>
  <c r="S110" i="33"/>
  <c r="S75" i="33"/>
  <c r="R77" i="33"/>
  <c r="U137" i="33"/>
  <c r="R113" i="33"/>
  <c r="U16" i="33"/>
  <c r="S14" i="33"/>
  <c r="W106" i="33" l="1"/>
  <c r="U138" i="33"/>
  <c r="W134" i="33"/>
  <c r="W71" i="33"/>
  <c r="S112" i="33"/>
  <c r="S76" i="33"/>
  <c r="W137" i="33" l="1"/>
  <c r="W121" i="33"/>
  <c r="W75" i="33"/>
  <c r="W110" i="33"/>
  <c r="V16" i="33"/>
  <c r="S113" i="33"/>
  <c r="V137" i="33"/>
  <c r="S77" i="33"/>
  <c r="W138" i="33" l="1"/>
  <c r="W125" i="33"/>
  <c r="T110" i="33"/>
  <c r="T75" i="33"/>
  <c r="W16" i="33"/>
  <c r="V138" i="33"/>
  <c r="T14" i="33"/>
  <c r="W127" i="33" l="1"/>
  <c r="W128" i="33" s="1"/>
  <c r="T76" i="33"/>
  <c r="T112" i="33"/>
  <c r="T113" i="33" l="1"/>
  <c r="T77" i="33"/>
  <c r="U110" i="33" l="1"/>
  <c r="U75" i="33"/>
  <c r="U14" i="33"/>
  <c r="U112" i="33" l="1"/>
  <c r="U76" i="33"/>
  <c r="U113" i="33" l="1"/>
  <c r="V110" i="33"/>
  <c r="U77" i="33"/>
  <c r="V75" i="33" l="1"/>
  <c r="V14" i="33"/>
  <c r="V76" i="33" l="1"/>
  <c r="W76" i="33" s="1"/>
  <c r="W77" i="33" s="1"/>
  <c r="V112" i="33"/>
  <c r="W112" i="33" s="1"/>
  <c r="W113" i="33" s="1"/>
  <c r="W14" i="33"/>
  <c r="V113" i="33" l="1"/>
  <c r="V77" i="33"/>
  <c r="N127" i="33" l="1"/>
  <c r="N128" i="33" l="1"/>
  <c r="N144" i="33"/>
  <c r="O125" i="33" l="1"/>
  <c r="O18" i="33"/>
  <c r="O15" i="33"/>
  <c r="O17" i="33"/>
  <c r="O13" i="33"/>
  <c r="O19" i="33" l="1"/>
  <c r="O127" i="33"/>
  <c r="O164" i="33"/>
  <c r="O169" i="33" l="1"/>
  <c r="O21" i="33"/>
  <c r="O144" i="33" s="1"/>
  <c r="O128" i="33"/>
  <c r="P125" i="33" l="1"/>
  <c r="P15" i="33"/>
  <c r="P13" i="33"/>
  <c r="P17" i="33"/>
  <c r="O27" i="33"/>
  <c r="O147" i="33"/>
  <c r="P18" i="33"/>
  <c r="O171" i="33"/>
  <c r="O22" i="33" l="1"/>
  <c r="O173" i="33"/>
  <c r="P164" i="33"/>
  <c r="O28" i="33"/>
  <c r="O29" i="33" s="1"/>
  <c r="P127" i="33"/>
  <c r="P19" i="33"/>
  <c r="O31" i="33" l="1"/>
  <c r="Q125" i="33"/>
  <c r="P128" i="33"/>
  <c r="O32" i="33"/>
  <c r="P21" i="33"/>
  <c r="P144" i="33" s="1"/>
  <c r="O23" i="33"/>
  <c r="P169" i="33"/>
  <c r="Q13" i="33" l="1"/>
  <c r="P147" i="33"/>
  <c r="O33" i="33"/>
  <c r="O148" i="33"/>
  <c r="O37" i="33"/>
  <c r="O36" i="33"/>
  <c r="P171" i="33"/>
  <c r="Q17" i="33"/>
  <c r="Q18" i="33"/>
  <c r="Q15" i="33"/>
  <c r="O38" i="33" l="1"/>
  <c r="P22" i="33"/>
  <c r="P173" i="33"/>
  <c r="R17" i="33"/>
  <c r="Q127" i="33"/>
  <c r="Q19" i="33"/>
  <c r="R15" i="33"/>
  <c r="R13" i="33"/>
  <c r="Q164" i="33"/>
  <c r="R18" i="33"/>
  <c r="P23" i="33" l="1"/>
  <c r="Q169" i="33"/>
  <c r="R19" i="33"/>
  <c r="O150" i="33"/>
  <c r="P32" i="33"/>
  <c r="Q21" i="33"/>
  <c r="Q128" i="33"/>
  <c r="Q144" i="33" l="1"/>
  <c r="Q170" i="33"/>
  <c r="S125" i="33"/>
  <c r="Q147" i="33"/>
  <c r="S18" i="33"/>
  <c r="S15" i="33"/>
  <c r="R21" i="33"/>
  <c r="R147" i="33" s="1"/>
  <c r="P148" i="33"/>
  <c r="S17" i="33"/>
  <c r="S13" i="33"/>
  <c r="Q171" i="33" l="1"/>
  <c r="S19" i="33"/>
  <c r="S164" i="33"/>
  <c r="S127" i="33"/>
  <c r="Q173" i="33" l="1"/>
  <c r="Q32" i="33" s="1"/>
  <c r="Q22" i="33"/>
  <c r="S128" i="33"/>
  <c r="S168" i="33"/>
  <c r="S21" i="33"/>
  <c r="T125" i="33"/>
  <c r="Q23" i="33" l="1"/>
  <c r="R22" i="33"/>
  <c r="R23" i="33" s="1"/>
  <c r="R32" i="33"/>
  <c r="S147" i="33"/>
  <c r="T13" i="33"/>
  <c r="T15" i="33"/>
  <c r="T17" i="33"/>
  <c r="S144" i="33"/>
  <c r="T18" i="33"/>
  <c r="S169" i="33"/>
  <c r="Q148" i="33"/>
  <c r="T164" i="33" l="1"/>
  <c r="R148" i="33"/>
  <c r="T127" i="33"/>
  <c r="T19" i="33"/>
  <c r="S171" i="33"/>
  <c r="T168" i="33"/>
  <c r="T128" i="33" l="1"/>
  <c r="U125" i="33"/>
  <c r="S22" i="33"/>
  <c r="S173" i="33"/>
  <c r="T21" i="33"/>
  <c r="T144" i="33" s="1"/>
  <c r="T169" i="33"/>
  <c r="S23" i="33" l="1"/>
  <c r="U18" i="33"/>
  <c r="U13" i="33"/>
  <c r="U15" i="33"/>
  <c r="T171" i="33"/>
  <c r="T147" i="33"/>
  <c r="U17" i="33"/>
  <c r="S32" i="33"/>
  <c r="U19" i="33" l="1"/>
  <c r="U127" i="33"/>
  <c r="T22" i="33"/>
  <c r="T173" i="33"/>
  <c r="U164" i="33"/>
  <c r="S148" i="33"/>
  <c r="P27" i="33"/>
  <c r="P28" i="33" l="1"/>
  <c r="U168" i="33"/>
  <c r="U128" i="33"/>
  <c r="T23" i="33"/>
  <c r="T32" i="33"/>
  <c r="U21" i="33"/>
  <c r="U144" i="33" s="1"/>
  <c r="V125" i="33" l="1"/>
  <c r="V13" i="33"/>
  <c r="V15" i="33"/>
  <c r="V18" i="33"/>
  <c r="P33" i="33"/>
  <c r="V17" i="33"/>
  <c r="U147" i="33"/>
  <c r="T148" i="33"/>
  <c r="U169" i="33"/>
  <c r="P29" i="33"/>
  <c r="V164" i="33" l="1"/>
  <c r="W18" i="33"/>
  <c r="V19" i="33"/>
  <c r="W15" i="33"/>
  <c r="V127" i="33"/>
  <c r="P38" i="33"/>
  <c r="W13" i="33"/>
  <c r="W17" i="33"/>
  <c r="U171" i="33"/>
  <c r="V168" i="33"/>
  <c r="P31" i="33"/>
  <c r="P36" i="33" l="1"/>
  <c r="P37" i="33"/>
  <c r="U22" i="33"/>
  <c r="U173" i="33"/>
  <c r="V21" i="33"/>
  <c r="V144" i="33" s="1"/>
  <c r="V128" i="33"/>
  <c r="P150" i="33"/>
  <c r="W19" i="33"/>
  <c r="V169" i="33"/>
  <c r="U32" i="33" l="1"/>
  <c r="W21" i="33"/>
  <c r="V147" i="33"/>
  <c r="U23" i="33"/>
  <c r="V171" i="33"/>
  <c r="V22" i="33" l="1"/>
  <c r="V173" i="33"/>
  <c r="W147" i="33"/>
  <c r="U148" i="33"/>
  <c r="V32" i="33" l="1"/>
  <c r="V23" i="33"/>
  <c r="W22" i="33"/>
  <c r="W23" i="33" l="1"/>
  <c r="V148" i="33"/>
  <c r="W32" i="33"/>
  <c r="W148" i="33" l="1"/>
  <c r="Q27" i="33" l="1"/>
  <c r="R25" i="33"/>
  <c r="R27" i="33" l="1"/>
  <c r="Q28" i="33"/>
  <c r="Q29" i="33" s="1"/>
  <c r="Q31" i="33" l="1"/>
  <c r="R28" i="33"/>
  <c r="R29" i="33" s="1"/>
  <c r="Q33" i="33"/>
  <c r="Q38" i="33" l="1"/>
  <c r="R31" i="33"/>
  <c r="R149" i="33"/>
  <c r="R33" i="33"/>
  <c r="Q36" i="33"/>
  <c r="Q37" i="33"/>
  <c r="Q150" i="33" l="1"/>
  <c r="R34" i="33"/>
  <c r="R35" i="33"/>
  <c r="R37" i="33" l="1"/>
  <c r="R36" i="33"/>
  <c r="R38" i="33"/>
  <c r="R150" i="33" l="1"/>
  <c r="S27" i="33" l="1"/>
  <c r="S28" i="33" l="1"/>
  <c r="S29" i="33" s="1"/>
  <c r="S31" i="33" l="1"/>
  <c r="S33" i="33"/>
  <c r="S38" i="33" l="1"/>
  <c r="S36" i="33"/>
  <c r="S37" i="33"/>
  <c r="S150" i="33" l="1"/>
  <c r="T27" i="33" l="1"/>
  <c r="T28" i="33" l="1"/>
  <c r="T29" i="33" s="1"/>
  <c r="T33" i="33" l="1"/>
  <c r="T31" i="33"/>
  <c r="T38" i="33" l="1"/>
  <c r="T36" i="33"/>
  <c r="T37" i="33"/>
  <c r="T150" i="33" l="1"/>
  <c r="U27" i="33" l="1"/>
  <c r="U28" i="33" l="1"/>
  <c r="U33" i="33" l="1"/>
  <c r="U29" i="33"/>
  <c r="U38" i="33" l="1"/>
  <c r="U31" i="33"/>
  <c r="U36" i="33" l="1"/>
  <c r="U37" i="33"/>
  <c r="U150" i="33"/>
  <c r="V27" i="33" l="1"/>
  <c r="W25" i="33"/>
  <c r="W27" i="33" l="1"/>
  <c r="V28" i="33"/>
  <c r="V29" i="33" s="1"/>
  <c r="V31" i="33" l="1"/>
  <c r="W28" i="33"/>
  <c r="V33" i="33"/>
  <c r="V38" i="33" l="1"/>
  <c r="W149" i="33"/>
  <c r="W33" i="33"/>
  <c r="W29" i="33"/>
  <c r="V36" i="33"/>
  <c r="V37" i="33"/>
  <c r="W31" i="33" l="1"/>
  <c r="V150" i="33"/>
  <c r="W34" i="33" l="1"/>
  <c r="W35" i="33"/>
  <c r="W38" i="33" l="1"/>
  <c r="W37" i="33"/>
  <c r="W36" i="33"/>
  <c r="W150"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12" authorId="0" shapeId="0" xr:uid="{0CABC0D6-52AF-4261-9CB6-200DAF25426E}">
      <text>
        <r>
          <rPr>
            <b/>
            <sz val="9"/>
            <color rgb="FF000000"/>
            <rFont val="Tahoma"/>
            <family val="2"/>
          </rPr>
          <t xml:space="preserve">-----------Review of Historic Results------------
</t>
        </r>
        <r>
          <rPr>
            <b/>
            <sz val="9"/>
            <color rgb="FF000000"/>
            <rFont val="Tahoma"/>
            <family val="2"/>
          </rPr>
          <t xml:space="preserve">MD&amp;A Comment: </t>
        </r>
        <r>
          <rPr>
            <sz val="9"/>
            <color rgb="FF000000"/>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t>
        </r>
        <r>
          <rPr>
            <sz val="9"/>
            <color rgb="FF000000"/>
            <rFont val="Tahoma"/>
            <family val="2"/>
          </rPr>
          <t xml:space="preserve">
</t>
        </r>
        <r>
          <rPr>
            <sz val="9"/>
            <color rgb="FF000000"/>
            <rFont val="Tahoma"/>
            <family val="2"/>
          </rPr>
          <t xml:space="preserve">Licensed stores revenue decreased $178 million, primarily driven by lower product and equipment sales to and royalty revenues from our licensees.
</t>
        </r>
        <r>
          <rPr>
            <sz val="9"/>
            <color rgb="FF000000"/>
            <rFont val="Tahoma"/>
            <family val="2"/>
          </rPr>
          <t xml:space="preserve">
</t>
        </r>
        <r>
          <rPr>
            <sz val="9"/>
            <color rgb="FF000000"/>
            <rFont val="Tahoma"/>
            <family val="2"/>
          </rPr>
          <t xml:space="preserve">Other revenues decreased $115 million, primarily due to the transition of certain single-serve product activities to Nestlé and lapping of transition activities related
</t>
        </r>
        <r>
          <rPr>
            <sz val="9"/>
            <color rgb="FF000000"/>
            <rFont val="Tahoma"/>
            <family val="2"/>
          </rPr>
          <t xml:space="preserve">to the Global Coffee Alliance in the prior year. Also contributing were lower Global Coffee Alliance revenues, mainly driven by the Foodservice business, which
</t>
        </r>
        <r>
          <rPr>
            <sz val="9"/>
            <color rgb="FF000000"/>
            <rFont val="Tahoma"/>
            <family val="2"/>
          </rPr>
          <t xml:space="preserve">experienced softening due to COVID-19.
</t>
        </r>
        <r>
          <rPr>
            <b/>
            <sz val="9"/>
            <color rgb="FF000000"/>
            <rFont val="Tahoma"/>
            <family val="2"/>
          </rPr>
          <t>Source:</t>
        </r>
        <r>
          <rPr>
            <sz val="9"/>
            <color rgb="FF000000"/>
            <rFont val="Tahoma"/>
            <family val="2"/>
          </rPr>
          <t xml:space="preserve"> F1Q2021 10-Q</t>
        </r>
      </text>
    </comment>
    <comment ref="R12" authorId="0" shapeId="0" xr:uid="{F41AD145-14E7-4ADD-8376-338A2A30CF13}">
      <text>
        <r>
          <rPr>
            <b/>
            <sz val="9"/>
            <color rgb="FF000000"/>
            <rFont val="Tahoma"/>
            <family val="2"/>
          </rPr>
          <t>Management Guidance:</t>
        </r>
        <r>
          <rPr>
            <sz val="9"/>
            <color rgb="FF000000"/>
            <rFont val="Tahoma"/>
            <family val="2"/>
          </rPr>
          <t xml:space="preserve">  Consolidated revenue of $28.0 billion to $29.0 billion, inclusive of a $500 million impact attributable to the 53rd week
</t>
        </r>
        <r>
          <rPr>
            <b/>
            <sz val="9"/>
            <color rgb="FF000000"/>
            <rFont val="Tahoma"/>
            <family val="2"/>
          </rPr>
          <t xml:space="preserve">Source: </t>
        </r>
        <r>
          <rPr>
            <sz val="9"/>
            <color rgb="FF000000"/>
            <rFont val="Tahoma"/>
            <family val="2"/>
          </rPr>
          <t>F1Q2021 Press Release, January 26, 2021</t>
        </r>
      </text>
    </comment>
    <comment ref="B13" authorId="1" shapeId="0" xr:uid="{D3326D8C-7B0E-4E25-A4C5-1D005CE9FF07}">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13" authorId="0" shapeId="0" xr:uid="{280BF64D-5789-47C0-BEAB-575E9E185346}">
      <text>
        <r>
          <rPr>
            <b/>
            <sz val="9"/>
            <color rgb="FF000000"/>
            <rFont val="Tahoma"/>
            <family val="2"/>
          </rPr>
          <t xml:space="preserve">----Review of Historic Results-------
</t>
        </r>
        <r>
          <rPr>
            <b/>
            <sz val="9"/>
            <color rgb="FF000000"/>
            <rFont val="Tahoma"/>
            <family val="2"/>
          </rPr>
          <t xml:space="preserve">MD&amp;A Comment: </t>
        </r>
        <r>
          <rPr>
            <sz val="9"/>
            <color rgb="FF000000"/>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rgb="FF000000"/>
            <rFont val="Tahoma"/>
            <family val="2"/>
          </rPr>
          <t xml:space="preserve">
</t>
        </r>
        <r>
          <rPr>
            <b/>
            <sz val="9"/>
            <color rgb="FF000000"/>
            <rFont val="Tahoma"/>
            <family val="2"/>
          </rPr>
          <t xml:space="preserve">Source: </t>
        </r>
        <r>
          <rPr>
            <sz val="9"/>
            <color rgb="FF000000"/>
            <rFont val="Tahoma"/>
            <family val="2"/>
          </rPr>
          <t>F1Q2021 10-Q</t>
        </r>
      </text>
    </comment>
    <comment ref="N14" authorId="0" shapeId="0" xr:uid="{67A699A0-270F-4155-B19E-7DC0A6CDE974}">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N15" authorId="0" shapeId="0" xr:uid="{0ADFE671-4D36-4FA1-B0DD-19FF4C3C9E03}">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N16" authorId="0" shapeId="0" xr:uid="{DCB871A0-0F1C-4A91-912A-5DD260433DBB}">
      <text>
        <r>
          <rPr>
            <b/>
            <sz val="9"/>
            <color rgb="FF000000"/>
            <rFont val="Tahoma"/>
            <family val="2"/>
          </rPr>
          <t xml:space="preserve">------Review of Historic Results---
</t>
        </r>
        <r>
          <rPr>
            <b/>
            <sz val="9"/>
            <color rgb="FF000000"/>
            <rFont val="Tahoma"/>
            <family val="2"/>
          </rPr>
          <t xml:space="preserve">MD&amp;A Comment: </t>
        </r>
        <r>
          <rPr>
            <sz val="9"/>
            <color rgb="FF000000"/>
            <rFont val="Tahoma"/>
            <family val="2"/>
          </rPr>
          <t>Depreciation and amortization expenses as a percentage of total net revenues increased 50 basis points, primarily due to sales eleverage.</t>
        </r>
        <r>
          <rPr>
            <b/>
            <sz val="9"/>
            <color rgb="FF000000"/>
            <rFont val="Tahoma"/>
            <family val="2"/>
          </rPr>
          <t xml:space="preserve">
</t>
        </r>
        <r>
          <rPr>
            <b/>
            <sz val="9"/>
            <color rgb="FF000000"/>
            <rFont val="Tahoma"/>
            <family val="2"/>
          </rPr>
          <t xml:space="preserve">Source: </t>
        </r>
        <r>
          <rPr>
            <sz val="9"/>
            <color rgb="FF000000"/>
            <rFont val="Tahoma"/>
            <family val="2"/>
          </rPr>
          <t>F1Q2021 10-Q</t>
        </r>
      </text>
    </comment>
    <comment ref="N17" authorId="0" shapeId="0" xr:uid="{BC02C875-0078-485F-BDA0-FF5F223567EA}">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L18" authorId="2" shapeId="0" xr:uid="{80D11B59-8D75-47FE-8B3B-9E41B8F0B4E8}">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8" authorId="0" shapeId="0" xr:uid="{9A73E1A6-FF12-46CC-AC74-BB6B8EDD257B}">
      <text>
        <r>
          <rPr>
            <b/>
            <sz val="9"/>
            <color rgb="FF000000"/>
            <rFont val="Tahoma"/>
            <family val="2"/>
          </rPr>
          <t xml:space="preserve">--Review of Historic Results-----------
</t>
        </r>
        <r>
          <rPr>
            <b/>
            <sz val="9"/>
            <color rgb="FF000000"/>
            <rFont val="Tahoma"/>
            <family val="2"/>
          </rPr>
          <t xml:space="preserve">MD&amp;A Comment: </t>
        </r>
        <r>
          <rPr>
            <sz val="9"/>
            <color rgb="FF000000"/>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rgb="FF000000"/>
            <rFont val="Tahoma"/>
            <family val="2"/>
          </rPr>
          <t xml:space="preserve">
</t>
        </r>
        <r>
          <rPr>
            <b/>
            <sz val="9"/>
            <color rgb="FF000000"/>
            <rFont val="Tahoma"/>
            <family val="2"/>
          </rPr>
          <t xml:space="preserve">Source: </t>
        </r>
        <r>
          <rPr>
            <sz val="9"/>
            <color rgb="FF000000"/>
            <rFont val="Tahoma"/>
            <family val="2"/>
          </rPr>
          <t>F1Q2021 10-Q</t>
        </r>
      </text>
    </comment>
    <comment ref="B20" authorId="1" shapeId="0" xr:uid="{B5212652-CD8C-4E88-8A30-4F4005960DAB}">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20" authorId="0" shapeId="0" xr:uid="{42D37E8C-F625-4BF7-8D6B-45CB323250E0}">
      <text>
        <r>
          <rPr>
            <b/>
            <sz val="9"/>
            <color rgb="FF000000"/>
            <rFont val="Tahoma"/>
            <family val="2"/>
          </rPr>
          <t xml:space="preserve">-------Review of Historic Results------MD&amp;A Comment: </t>
        </r>
        <r>
          <rPr>
            <sz val="9"/>
            <color rgb="FF000000"/>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rgb="FF000000"/>
            <rFont val="Tahoma"/>
            <family val="2"/>
          </rPr>
          <t xml:space="preserve">
</t>
        </r>
        <r>
          <rPr>
            <b/>
            <sz val="9"/>
            <color rgb="FF000000"/>
            <rFont val="Tahoma"/>
            <family val="2"/>
          </rPr>
          <t xml:space="preserve">Source: </t>
        </r>
        <r>
          <rPr>
            <sz val="9"/>
            <color rgb="FF000000"/>
            <rFont val="Tahoma"/>
            <family val="2"/>
          </rPr>
          <t>F1Q2021 10-Q</t>
        </r>
      </text>
    </comment>
    <comment ref="H26" authorId="1" shapeId="0" xr:uid="{D5A60134-A2C2-4D47-80C3-871E9C31DEAD}">
      <text>
        <r>
          <rPr>
            <b/>
            <sz val="9"/>
            <color rgb="FF000000"/>
            <rFont val="Tahoma"/>
            <family val="2"/>
          </rPr>
          <t>F3Q2019 Earnings call (7/25/2019) guidance for FY2019:</t>
        </r>
        <r>
          <rPr>
            <sz val="9"/>
            <color rgb="FF000000"/>
            <rFont val="Tahoma"/>
            <family val="2"/>
          </rPr>
          <t xml:space="preserve"> Interest Expense guided to $330M.</t>
        </r>
      </text>
    </comment>
    <comment ref="M26" authorId="1" shapeId="0" xr:uid="{011DB464-AB69-4D8F-AA32-9A467E9A4567}">
      <text>
        <r>
          <rPr>
            <b/>
            <sz val="9"/>
            <color rgb="FF000000"/>
            <rFont val="Tahoma"/>
            <family val="2"/>
          </rPr>
          <t xml:space="preserve">Management Guidance: </t>
        </r>
        <r>
          <rPr>
            <sz val="9"/>
            <color rgb="FF000000"/>
            <rFont val="Tahoma"/>
            <family val="2"/>
          </rPr>
          <t>Interest expense of approximately $435 million to $445 million</t>
        </r>
        <r>
          <rPr>
            <b/>
            <sz val="9"/>
            <color rgb="FF000000"/>
            <rFont val="Tahoma"/>
            <family val="2"/>
          </rPr>
          <t xml:space="preserve">
</t>
        </r>
        <r>
          <rPr>
            <b/>
            <sz val="9"/>
            <color rgb="FF000000"/>
            <rFont val="Tahoma"/>
            <family val="2"/>
          </rPr>
          <t xml:space="preserve">Source: </t>
        </r>
        <r>
          <rPr>
            <sz val="9"/>
            <color rgb="FF000000"/>
            <rFont val="Tahoma"/>
            <family val="2"/>
          </rPr>
          <t>F3Q2020 Press Release, July 28, 2020</t>
        </r>
      </text>
    </comment>
    <comment ref="N26" authorId="0" shapeId="0" xr:uid="{05E405FA-EC47-468B-80FD-47D288695CC9}">
      <text>
        <r>
          <rPr>
            <b/>
            <sz val="9"/>
            <color rgb="FF000000"/>
            <rFont val="Tahoma"/>
            <family val="2"/>
          </rPr>
          <t xml:space="preserve">-----------Review of Historic Results------------MD&amp;A Comment: </t>
        </r>
        <r>
          <rPr>
            <sz val="9"/>
            <color rgb="FF000000"/>
            <rFont val="Tahoma"/>
            <family val="2"/>
          </rPr>
          <t>Interest expense increased $29 million, primarily due to additional interest incurred on long-term debt issued in March 2020 and May 2020.</t>
        </r>
        <r>
          <rPr>
            <b/>
            <sz val="9"/>
            <color rgb="FF000000"/>
            <rFont val="Tahoma"/>
            <family val="2"/>
          </rPr>
          <t xml:space="preserve">
</t>
        </r>
        <r>
          <rPr>
            <b/>
            <sz val="9"/>
            <color rgb="FF000000"/>
            <rFont val="Tahoma"/>
            <family val="2"/>
          </rPr>
          <t xml:space="preserve">Source: </t>
        </r>
        <r>
          <rPr>
            <sz val="9"/>
            <color rgb="FF000000"/>
            <rFont val="Tahoma"/>
            <family val="2"/>
          </rPr>
          <t>F1Q2021 10-Q</t>
        </r>
      </text>
    </comment>
    <comment ref="R26" authorId="0" shapeId="0" xr:uid="{5CE63927-D2FF-4AC6-823D-3C721221DE1C}">
      <text>
        <r>
          <rPr>
            <b/>
            <sz val="9"/>
            <color rgb="FF000000"/>
            <rFont val="Tahoma"/>
            <family val="2"/>
          </rPr>
          <t xml:space="preserve">Management Guidance: </t>
        </r>
        <r>
          <rPr>
            <sz val="9"/>
            <color rgb="FF000000"/>
            <rFont val="Tahoma"/>
            <family val="2"/>
          </rPr>
          <t xml:space="preserve">  Interest expense of approximately $470 million to $480 million.
</t>
        </r>
        <r>
          <rPr>
            <b/>
            <sz val="9"/>
            <color rgb="FF000000"/>
            <rFont val="Tahoma"/>
            <family val="2"/>
          </rPr>
          <t>Source:</t>
        </r>
        <r>
          <rPr>
            <sz val="9"/>
            <color rgb="FF000000"/>
            <rFont val="Tahoma"/>
            <family val="2"/>
          </rPr>
          <t xml:space="preserve"> F1Q2021 Press Release, January 26, 2021</t>
        </r>
      </text>
    </comment>
    <comment ref="N28" authorId="0" shapeId="0" xr:uid="{50879CA9-0BC8-465C-B08A-2D35686E7BC3}">
      <text>
        <r>
          <rPr>
            <b/>
            <sz val="9"/>
            <color rgb="FF000000"/>
            <rFont val="Tahoma"/>
            <family val="2"/>
          </rPr>
          <t xml:space="preserve">-----------Review of Historic Results---------MD&amp;A Comment: </t>
        </r>
        <r>
          <rPr>
            <sz val="9"/>
            <color rgb="FF000000"/>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rgb="FF000000"/>
            <rFont val="Tahoma"/>
            <family val="2"/>
          </rPr>
          <t xml:space="preserve">
</t>
        </r>
        <r>
          <rPr>
            <b/>
            <sz val="9"/>
            <color rgb="FF000000"/>
            <rFont val="Tahoma"/>
            <family val="2"/>
          </rPr>
          <t>Source:</t>
        </r>
        <r>
          <rPr>
            <sz val="9"/>
            <color rgb="FF000000"/>
            <rFont val="Tahoma"/>
            <family val="2"/>
          </rPr>
          <t xml:space="preserve"> F1Q2021 10-Q</t>
        </r>
      </text>
    </comment>
    <comment ref="H37" authorId="1" shapeId="0" xr:uid="{1063FE23-2878-4BFE-972D-66DFF32309DA}">
      <text>
        <r>
          <rPr>
            <b/>
            <sz val="9"/>
            <color rgb="FF000000"/>
            <rFont val="Tahoma"/>
            <family val="2"/>
          </rPr>
          <t xml:space="preserve">F3Q2019 Earnings call (7/25/2019) guidance for FY2019: </t>
        </r>
        <r>
          <rPr>
            <sz val="9"/>
            <color rgb="FF000000"/>
            <rFont val="Tahoma"/>
            <family val="2"/>
          </rPr>
          <t>GAAP EPS in the range of $2.86 to $2.88</t>
        </r>
        <r>
          <rPr>
            <b/>
            <sz val="9"/>
            <color rgb="FF000000"/>
            <rFont val="Tahoma"/>
            <family val="2"/>
          </rPr>
          <t xml:space="preserve">
</t>
        </r>
        <r>
          <rPr>
            <b/>
            <sz val="9"/>
            <color rgb="FF000000"/>
            <rFont val="Tahoma"/>
            <family val="2"/>
          </rPr>
          <t xml:space="preserve">
</t>
        </r>
        <r>
          <rPr>
            <b/>
            <sz val="9"/>
            <color rgb="FF000000"/>
            <rFont val="Tahoma"/>
            <family val="2"/>
          </rPr>
          <t xml:space="preserve">Previous Guidance:
</t>
        </r>
        <r>
          <rPr>
            <b/>
            <sz val="9"/>
            <color rgb="FF000000"/>
            <rFont val="Tahoma"/>
            <family val="2"/>
          </rPr>
          <t xml:space="preserve">F2Q2019 Earnings call guidance for FY2019: </t>
        </r>
        <r>
          <rPr>
            <sz val="9"/>
            <color rgb="FF000000"/>
            <rFont val="Tahoma"/>
            <family val="2"/>
          </rPr>
          <t xml:space="preserve">GAAP EPS in the range of $2.40 to $2.44
</t>
        </r>
        <r>
          <rPr>
            <b/>
            <sz val="9"/>
            <color rgb="FF000000"/>
            <rFont val="Tahoma"/>
            <family val="2"/>
          </rPr>
          <t>F1Q2019 Earnings call guidance for FY2019:</t>
        </r>
        <r>
          <rPr>
            <sz val="9"/>
            <color rgb="FF000000"/>
            <rFont val="Tahoma"/>
            <family val="2"/>
          </rPr>
          <t xml:space="preserve"> GAAP EPS in the range of $2.32 to $2.37
</t>
        </r>
      </text>
    </comment>
    <comment ref="L37" authorId="1" shapeId="0" xr:uid="{08F42CFA-8E99-472C-8C10-4111D8FA3F1E}">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7" authorId="1" shapeId="0" xr:uid="{50C6855B-9413-4C48-8D40-8E46259A03EE}">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7" authorId="0" shapeId="0" xr:uid="{72B4CFA2-0DB6-45B9-A070-0C2189E74482}">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7" authorId="0" shapeId="0" xr:uid="{677CFE09-76D5-4DC1-A324-FCD70A2F5AC7}">
      <text>
        <r>
          <rPr>
            <b/>
            <sz val="9"/>
            <color rgb="FF000000"/>
            <rFont val="Tahoma"/>
            <family val="2"/>
          </rPr>
          <t>Management Guidance:</t>
        </r>
        <r>
          <rPr>
            <sz val="9"/>
            <color rgb="FF000000"/>
            <rFont val="Tahoma"/>
            <family val="2"/>
          </rPr>
          <t xml:space="preserve"> GAAP EPS in the range of $2.42 to $2.62, inclusive of a $0.10 impact attributable to the 53rd week
</t>
        </r>
        <r>
          <rPr>
            <sz val="9"/>
            <color rgb="FF000000"/>
            <rFont val="Tahoma"/>
            <family val="2"/>
          </rPr>
          <t xml:space="preserve">(previously $2.34 to $2.54, inclusive of a $0.10 impact attributable to the 53rd week)
</t>
        </r>
        <r>
          <rPr>
            <b/>
            <sz val="9"/>
            <color rgb="FF000000"/>
            <rFont val="Tahoma"/>
            <family val="2"/>
          </rPr>
          <t>Source:</t>
        </r>
        <r>
          <rPr>
            <sz val="9"/>
            <color rgb="FF000000"/>
            <rFont val="Tahoma"/>
            <family val="2"/>
          </rPr>
          <t xml:space="preserve"> F1Q2021 Press Release, January 26, 2021</t>
        </r>
        <r>
          <rPr>
            <sz val="9"/>
            <color rgb="FF000000"/>
            <rFont val="Tahoma"/>
            <family val="2"/>
          </rPr>
          <t xml:space="preserve">
</t>
        </r>
      </text>
    </comment>
    <comment ref="H38" authorId="1" shapeId="0" xr:uid="{FC14613E-2DC2-475E-B462-5AE1D9EF7F14}">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8" authorId="1" shapeId="0" xr:uid="{25B7F9BB-A98E-4D0C-992A-51DD68DB9670}">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8" authorId="1" shapeId="0" xr:uid="{CB6A502C-F010-4ECB-9396-0DEC8B8C024C}">
      <text>
        <r>
          <rPr>
            <b/>
            <sz val="9"/>
            <color rgb="FF000000"/>
            <rFont val="Tahoma"/>
            <family val="2"/>
          </rPr>
          <t xml:space="preserve">Management Guidance: </t>
        </r>
        <r>
          <rPr>
            <sz val="9"/>
            <color rgb="FF000000"/>
            <rFont val="Tahoma"/>
            <family val="2"/>
          </rPr>
          <t xml:space="preserve">Non-GAAP EPS in the range of $0.83 to $0.93 for full year.
</t>
        </r>
        <r>
          <rPr>
            <b/>
            <sz val="9"/>
            <color rgb="FF000000"/>
            <rFont val="Tahoma"/>
            <family val="2"/>
          </rPr>
          <t xml:space="preserve">Source: </t>
        </r>
        <r>
          <rPr>
            <sz val="9"/>
            <color rgb="FF000000"/>
            <rFont val="Tahoma"/>
            <family val="2"/>
          </rPr>
          <t xml:space="preserve">F3Q2020 Press Release, July 28, 2020
</t>
        </r>
        <r>
          <rPr>
            <b/>
            <sz val="9"/>
            <color rgb="FF000000"/>
            <rFont val="Tahoma"/>
            <family val="2"/>
          </rPr>
          <t>Primary Output:</t>
        </r>
        <r>
          <rPr>
            <sz val="9"/>
            <color rgb="FF000000"/>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8" authorId="0" shapeId="0" xr:uid="{CC373603-D31A-4338-B2A3-3943B809A7BD}">
      <text>
        <r>
          <rPr>
            <b/>
            <sz val="9"/>
            <color rgb="FF000000"/>
            <rFont val="Tahoma"/>
            <family val="2"/>
          </rPr>
          <t xml:space="preserve">Management Guidance: </t>
        </r>
        <r>
          <rPr>
            <sz val="9"/>
            <color rgb="FF000000"/>
            <rFont val="Tahoma"/>
            <family val="2"/>
          </rPr>
          <t xml:space="preserve">GAAP EPS in the range of $0.45 to $0.50.
</t>
        </r>
        <r>
          <rPr>
            <b/>
            <sz val="9"/>
            <color rgb="FF000000"/>
            <rFont val="Tahoma"/>
            <family val="2"/>
          </rPr>
          <t xml:space="preserve">Source: </t>
        </r>
        <r>
          <rPr>
            <sz val="9"/>
            <color rgb="FF000000"/>
            <rFont val="Tahoma"/>
            <family val="2"/>
          </rPr>
          <t>F1Q2021 Press Release, January 26, 2021</t>
        </r>
      </text>
    </comment>
    <comment ref="R38" authorId="0" shapeId="0" xr:uid="{F3718621-B233-40E1-A3C5-7045ED20F083}">
      <text>
        <r>
          <rPr>
            <b/>
            <sz val="9"/>
            <color rgb="FF000000"/>
            <rFont val="Tahoma"/>
            <family val="2"/>
          </rPr>
          <t xml:space="preserve">Management Guidance: </t>
        </r>
        <r>
          <rPr>
            <sz val="9"/>
            <color rgb="FF000000"/>
            <rFont val="Tahoma"/>
            <family val="2"/>
          </rPr>
          <t>Non-GAAP EPS in the range of $2.70 to $2.90, inclusive of a $0.10 impact attributable to the 53rd week.</t>
        </r>
        <r>
          <rPr>
            <b/>
            <sz val="9"/>
            <color rgb="FF000000"/>
            <rFont val="Tahoma"/>
            <family val="2"/>
          </rPr>
          <t xml:space="preserve">
</t>
        </r>
        <r>
          <rPr>
            <b/>
            <sz val="9"/>
            <color rgb="FF000000"/>
            <rFont val="Tahoma"/>
            <family val="2"/>
          </rPr>
          <t xml:space="preserve">Source: </t>
        </r>
        <r>
          <rPr>
            <sz val="9"/>
            <color rgb="FF000000"/>
            <rFont val="Tahoma"/>
            <family val="2"/>
          </rPr>
          <t>F1Q2021 Press Release, January 26, 2021</t>
        </r>
      </text>
    </comment>
    <comment ref="L39" authorId="1" shapeId="0" xr:uid="{AD484EF5-313C-439D-B1F4-6F228791F6E3}">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O45" authorId="0" shapeId="0" xr:uid="{AA1B97BC-9B55-4EE0-A2E6-57453FCF053C}">
      <text>
        <r>
          <rPr>
            <b/>
            <sz val="9"/>
            <color rgb="FF000000"/>
            <rFont val="Tahoma"/>
            <family val="2"/>
          </rPr>
          <t xml:space="preserve">Primary Input: </t>
        </r>
        <r>
          <rPr>
            <sz val="9"/>
            <color rgb="FF000000"/>
            <rFont val="Tahoma"/>
            <family val="2"/>
          </rPr>
          <t xml:space="preserve">If you believe the macroeconomic and competitive landscape  will result in a favorable conditions for the company, consider increaseing the number of new stores over time, for each region. If not decrease the store count. </t>
        </r>
      </text>
    </comment>
    <comment ref="L50" authorId="1" shapeId="0" xr:uid="{6F94FD80-B5C8-4A6D-85D9-A0D601E818E4}">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O50" authorId="1" shapeId="0" xr:uid="{EC1FF242-F3F7-4E99-9941-8CBF4D7EF935}">
      <text>
        <r>
          <rPr>
            <b/>
            <sz val="9"/>
            <color rgb="FF000000"/>
            <rFont val="Tahoma"/>
            <family val="2"/>
          </rPr>
          <t xml:space="preserve">Primary Input: </t>
        </r>
        <r>
          <rPr>
            <sz val="9"/>
            <color rgb="FF000000"/>
            <rFont val="Tahoma"/>
            <family val="2"/>
          </rPr>
          <t>If you believe the SBUX product offerings, macroeconomic and competitive conditions  will benefit the company, increase the Comp Store Sales rate. If not, decrease the rate.</t>
        </r>
        <r>
          <rPr>
            <b/>
            <sz val="9"/>
            <color rgb="FF000000"/>
            <rFont val="Tahoma"/>
            <family val="2"/>
          </rPr>
          <t xml:space="preserve">
</t>
        </r>
        <r>
          <rPr>
            <b/>
            <sz val="9"/>
            <color rgb="FF000000"/>
            <rFont val="Tahoma"/>
            <family val="2"/>
          </rPr>
          <t xml:space="preserve">
</t>
        </r>
        <r>
          <rPr>
            <b/>
            <sz val="9"/>
            <color rgb="FF000000"/>
            <rFont val="Tahoma"/>
            <family val="2"/>
          </rPr>
          <t xml:space="preserve">Management Guidance: </t>
        </r>
        <r>
          <rPr>
            <sz val="9"/>
            <color rgb="FF000000"/>
            <rFont val="Tahoma"/>
            <family val="2"/>
          </rPr>
          <t>U.S. comparable store sales growth of approximately 5% to 10%.</t>
        </r>
        <r>
          <rPr>
            <b/>
            <sz val="9"/>
            <color rgb="FF000000"/>
            <rFont val="Tahoma"/>
            <family val="2"/>
          </rPr>
          <t xml:space="preserve">
</t>
        </r>
        <r>
          <rPr>
            <b/>
            <sz val="9"/>
            <color rgb="FF000000"/>
            <rFont val="Tahoma"/>
            <family val="2"/>
          </rPr>
          <t xml:space="preserve">Source: </t>
        </r>
        <r>
          <rPr>
            <sz val="9"/>
            <color rgb="FF000000"/>
            <rFont val="Tahoma"/>
            <family val="2"/>
          </rPr>
          <t>F1Q2021 Press Release, January 26, 2021</t>
        </r>
        <r>
          <rPr>
            <b/>
            <sz val="9"/>
            <color rgb="FF000000"/>
            <rFont val="Tahoma"/>
            <family val="2"/>
          </rPr>
          <t xml:space="preserve">
</t>
        </r>
        <r>
          <rPr>
            <b/>
            <sz val="9"/>
            <color rgb="FF000000"/>
            <rFont val="Tahoma"/>
            <family val="2"/>
          </rPr>
          <t xml:space="preserve">
</t>
        </r>
        <r>
          <rPr>
            <b/>
            <sz val="9"/>
            <color rgb="FF000000"/>
            <rFont val="Tahoma"/>
            <family val="2"/>
          </rPr>
          <t xml:space="preserve">---------------------------Past guidance----------------------------
</t>
        </r>
        <r>
          <rPr>
            <b/>
            <sz val="9"/>
            <color rgb="FF000000"/>
            <rFont val="Tahoma"/>
            <family val="2"/>
          </rPr>
          <t xml:space="preserve">Comment from F3Q2020 Earnings Call: </t>
        </r>
        <r>
          <rPr>
            <sz val="9"/>
            <color rgb="FF000000"/>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N52" authorId="0" shapeId="0" xr:uid="{932250B2-D36F-453E-B07C-985A9F95953E}">
      <text>
        <r>
          <rPr>
            <b/>
            <sz val="9"/>
            <color rgb="FF000000"/>
            <rFont val="Tahoma"/>
            <family val="2"/>
          </rPr>
          <t>-----------Review of Historic Results------------MD&amp;A Comment:</t>
        </r>
        <r>
          <rPr>
            <sz val="9"/>
            <color rgb="FF000000"/>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rgb="FF000000"/>
            <rFont val="Tahoma"/>
            <family val="2"/>
          </rPr>
          <t>Source:</t>
        </r>
        <r>
          <rPr>
            <sz val="9"/>
            <color rgb="FF000000"/>
            <rFont val="Tahoma"/>
            <family val="2"/>
          </rPr>
          <t xml:space="preserve"> F1Q2021 10-Q
</t>
        </r>
      </text>
    </comment>
    <comment ref="N59" authorId="0" shapeId="0" xr:uid="{0F7719BA-C627-4446-920B-D0132281555B}">
      <text>
        <r>
          <rPr>
            <b/>
            <sz val="9"/>
            <color rgb="FF000000"/>
            <rFont val="Tahoma"/>
            <family val="2"/>
          </rPr>
          <t xml:space="preserve">-----------Review of Historic Results------------MD&amp;A Comment: </t>
        </r>
        <r>
          <rPr>
            <sz val="9"/>
            <color rgb="FF000000"/>
            <rFont val="Tahoma"/>
            <family val="2"/>
          </rPr>
          <t>Licensed stores revenues declined by $121.1 million, primarily due to lower product and equipment sales to and royalty revenues from our licensees.</t>
        </r>
        <r>
          <rPr>
            <b/>
            <sz val="9"/>
            <color rgb="FF000000"/>
            <rFont val="Tahoma"/>
            <family val="2"/>
          </rPr>
          <t xml:space="preserve">
</t>
        </r>
        <r>
          <rPr>
            <b/>
            <sz val="9"/>
            <color rgb="FF000000"/>
            <rFont val="Tahoma"/>
            <family val="2"/>
          </rPr>
          <t xml:space="preserve">Source: </t>
        </r>
        <r>
          <rPr>
            <sz val="9"/>
            <color rgb="FF000000"/>
            <rFont val="Tahoma"/>
            <family val="2"/>
          </rPr>
          <t>F1Q2021 10-Q</t>
        </r>
      </text>
    </comment>
    <comment ref="H63" authorId="1" shapeId="0" xr:uid="{8EBC4E48-B868-4BAA-9825-89122AD6163A}">
      <text>
        <r>
          <rPr>
            <b/>
            <sz val="9"/>
            <color rgb="FF000000"/>
            <rFont val="Tahoma"/>
            <family val="2"/>
          </rPr>
          <t>3Q2019 Earnings call (7/25/2019) guidance for FY2019:</t>
        </r>
        <r>
          <rPr>
            <sz val="9"/>
            <color rgb="FF000000"/>
            <rFont val="Tahoma"/>
            <family val="2"/>
          </rPr>
          <t xml:space="preserve"> ~2,000 net new Starbucks stores globally
</t>
        </r>
        <r>
          <rPr>
            <sz val="9"/>
            <color rgb="FF000000"/>
            <rFont val="Tahoma"/>
            <family val="2"/>
          </rPr>
          <t xml:space="preserve">Americas over 600
</t>
        </r>
        <r>
          <rPr>
            <sz val="9"/>
            <color rgb="FF000000"/>
            <rFont val="Tahoma"/>
            <family val="2"/>
          </rPr>
          <t xml:space="preserve">CAP ~1,100 (nearly 600 in China)
</t>
        </r>
        <r>
          <rPr>
            <u/>
            <sz val="9"/>
            <color rgb="FF000000"/>
            <rFont val="Tahoma"/>
            <family val="2"/>
          </rPr>
          <t>EMEA ~300</t>
        </r>
        <r>
          <rPr>
            <sz val="9"/>
            <color rgb="FF000000"/>
            <rFont val="Tahoma"/>
            <family val="2"/>
          </rPr>
          <t xml:space="preserve"> (virtually all license)</t>
        </r>
        <r>
          <rPr>
            <b/>
            <sz val="9"/>
            <color rgb="FF000000"/>
            <rFont val="Tahoma"/>
            <family val="2"/>
          </rPr>
          <t xml:space="preserve">
</t>
        </r>
        <r>
          <rPr>
            <b/>
            <sz val="9"/>
            <color rgb="FF000000"/>
            <rFont val="Tahoma"/>
            <family val="2"/>
          </rPr>
          <t xml:space="preserve">
</t>
        </r>
        <r>
          <rPr>
            <b/>
            <sz val="9"/>
            <color rgb="FF000000"/>
            <rFont val="Tahoma"/>
            <family val="2"/>
          </rPr>
          <t xml:space="preserve">Previous Guidance:
</t>
        </r>
        <r>
          <rPr>
            <b/>
            <sz val="9"/>
            <color rgb="FF000000"/>
            <rFont val="Tahoma"/>
            <family val="2"/>
          </rPr>
          <t xml:space="preserve">2Q2019 Earnings call guidance for FY2019: </t>
        </r>
        <r>
          <rPr>
            <sz val="9"/>
            <color rgb="FF000000"/>
            <rFont val="Tahoma"/>
            <family val="2"/>
          </rPr>
          <t xml:space="preserve">~2,100 net new Starbucks stores globally
</t>
        </r>
        <r>
          <rPr>
            <sz val="9"/>
            <color rgb="FF000000"/>
            <rFont val="Tahoma"/>
            <family val="2"/>
          </rPr>
          <t xml:space="preserve">Americas over 600
</t>
        </r>
        <r>
          <rPr>
            <sz val="9"/>
            <color rgb="FF000000"/>
            <rFont val="Tahoma"/>
            <family val="2"/>
          </rPr>
          <t xml:space="preserve">CAP ~1,100 (nearly 600 in China)
</t>
        </r>
        <r>
          <rPr>
            <sz val="9"/>
            <color rgb="FF000000"/>
            <rFont val="Tahoma"/>
            <family val="2"/>
          </rPr>
          <t>EMEA ~400 (virtually all license)</t>
        </r>
      </text>
    </comment>
    <comment ref="M63" authorId="1" shapeId="0" xr:uid="{6717E11C-6E79-4030-8073-C0F21DF9BD28}">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63" authorId="0" shapeId="0" xr:uid="{2ECFEB94-AFBC-466D-92A5-353750B339B2}">
      <text>
        <r>
          <rPr>
            <b/>
            <sz val="9"/>
            <color rgb="FF000000"/>
            <rFont val="Tahoma"/>
            <family val="2"/>
          </rPr>
          <t xml:space="preserve">Management Guidance: </t>
        </r>
        <r>
          <rPr>
            <sz val="9"/>
            <color rgb="FF000000"/>
            <rFont val="Tahoma"/>
            <family val="2"/>
          </rPr>
          <t xml:space="preserve">Americas approximately 850 new store openings and approximately 50 net new stores.
</t>
        </r>
        <r>
          <rPr>
            <b/>
            <sz val="9"/>
            <color rgb="FF000000"/>
            <rFont val="Tahoma"/>
            <family val="2"/>
          </rPr>
          <t>Source:</t>
        </r>
        <r>
          <rPr>
            <sz val="9"/>
            <color rgb="FF000000"/>
            <rFont val="Tahoma"/>
            <family val="2"/>
          </rPr>
          <t xml:space="preserve"> F1Q2021 Press Release, January 26, 2021</t>
        </r>
      </text>
    </comment>
    <comment ref="H77" authorId="1" shapeId="0" xr:uid="{AEF38CB9-A670-47D1-8A29-CC71282B450D}">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7" authorId="0" shapeId="0" xr:uid="{6648ECCC-7094-4ECA-A1A7-49F1A04CCE86}">
      <text>
        <r>
          <rPr>
            <b/>
            <sz val="9"/>
            <color rgb="FF000000"/>
            <rFont val="Tahoma"/>
            <family val="2"/>
          </rPr>
          <t xml:space="preserve">-----------Review of Historic Results------------
</t>
        </r>
        <r>
          <rPr>
            <b/>
            <sz val="9"/>
            <color rgb="FF000000"/>
            <rFont val="Tahoma"/>
            <family val="2"/>
          </rPr>
          <t xml:space="preserve">MD&amp;A Comment: </t>
        </r>
        <r>
          <rPr>
            <sz val="9"/>
            <color rgb="FF000000"/>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rgb="FF000000"/>
            <rFont val="Tahoma"/>
            <family val="2"/>
          </rPr>
          <t xml:space="preserve">Source: </t>
        </r>
        <r>
          <rPr>
            <sz val="9"/>
            <color rgb="FF000000"/>
            <rFont val="Tahoma"/>
            <family val="2"/>
          </rPr>
          <t>F1Q2021 10-Q</t>
        </r>
      </text>
    </comment>
    <comment ref="O77" authorId="1" shapeId="0" xr:uid="{AC18259E-825F-4E4C-A5A6-82675188B75E}">
      <text>
        <r>
          <rPr>
            <b/>
            <sz val="9"/>
            <color rgb="FF000000"/>
            <rFont val="Tahoma"/>
            <family val="2"/>
          </rPr>
          <t xml:space="preserve">Comment from F3Q2020 Earnings Call: </t>
        </r>
        <r>
          <rPr>
            <sz val="9"/>
            <color rgb="FF000000"/>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F80" authorId="1" shapeId="0" xr:uid="{048DD503-7049-488B-9595-899DFC068BA9}">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F85" authorId="1" shapeId="0" xr:uid="{6D5DF916-2D28-4C3D-8A49-01E725F74636}">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5" authorId="1" shapeId="0" xr:uid="{D3F4B386-7799-40EF-A0D4-52E9E62ACFF2}">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O85" authorId="1" shapeId="0" xr:uid="{4B44E5EE-6D84-4CA6-A53D-650ED456840A}">
      <text>
        <r>
          <rPr>
            <b/>
            <sz val="9"/>
            <color rgb="FF000000"/>
            <rFont val="Tahoma"/>
            <family val="2"/>
          </rPr>
          <t xml:space="preserve">Primary Input: </t>
        </r>
        <r>
          <rPr>
            <sz val="9"/>
            <color rgb="FF000000"/>
            <rFont val="Tahoma"/>
            <family val="2"/>
          </rPr>
          <t>If you believe the SBUX product offerings, macroeconomic and competitive conditions  will benefit the company, increase the Comp Store Sales rate. If not, decrease the rate.</t>
        </r>
        <r>
          <rPr>
            <b/>
            <sz val="9"/>
            <color rgb="FF000000"/>
            <rFont val="Tahoma"/>
            <family val="2"/>
          </rPr>
          <t xml:space="preserve">
</t>
        </r>
        <r>
          <rPr>
            <b/>
            <sz val="9"/>
            <color rgb="FF000000"/>
            <rFont val="Tahoma"/>
            <family val="2"/>
          </rPr>
          <t xml:space="preserve">
</t>
        </r>
        <r>
          <rPr>
            <b/>
            <sz val="9"/>
            <color rgb="FF000000"/>
            <rFont val="Tahoma"/>
            <family val="2"/>
          </rPr>
          <t xml:space="preserve">Management Guidance: </t>
        </r>
        <r>
          <rPr>
            <sz val="9"/>
            <color rgb="FF000000"/>
            <rFont val="Tahoma"/>
            <family val="2"/>
          </rPr>
          <t xml:space="preserve"> China comparable store sales growth of nearly 100% (Note China is only part of the International Segment).</t>
        </r>
        <r>
          <rPr>
            <b/>
            <sz val="9"/>
            <color rgb="FF000000"/>
            <rFont val="Tahoma"/>
            <family val="2"/>
          </rPr>
          <t xml:space="preserve">
</t>
        </r>
        <r>
          <rPr>
            <b/>
            <sz val="9"/>
            <color rgb="FF000000"/>
            <rFont val="Tahoma"/>
            <family val="2"/>
          </rPr>
          <t xml:space="preserve">Source: </t>
        </r>
        <r>
          <rPr>
            <sz val="9"/>
            <color rgb="FF000000"/>
            <rFont val="Tahoma"/>
            <family val="2"/>
          </rPr>
          <t xml:space="preserve">F1Q2021 Press Release, January 26, 2021
</t>
        </r>
        <r>
          <rPr>
            <b/>
            <sz val="9"/>
            <color rgb="FF000000"/>
            <rFont val="Tahoma"/>
            <family val="2"/>
          </rPr>
          <t xml:space="preserve">
</t>
        </r>
        <r>
          <rPr>
            <b/>
            <sz val="9"/>
            <color rgb="FF000000"/>
            <rFont val="Tahoma"/>
            <family val="2"/>
          </rPr>
          <t xml:space="preserve">---------------------------Past guidance----------------------------
</t>
        </r>
        <r>
          <rPr>
            <b/>
            <sz val="9"/>
            <color rgb="FF000000"/>
            <rFont val="Tahoma"/>
            <family val="2"/>
          </rPr>
          <t xml:space="preserve">Comment from F3Q2020 Earnings Call: </t>
        </r>
        <r>
          <rPr>
            <sz val="9"/>
            <color rgb="FF000000"/>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N87" authorId="0" shapeId="0" xr:uid="{EA932BC1-F3D5-42F5-A255-1C5C48277834}">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M91" authorId="1" shapeId="0" xr:uid="{AB5DAC01-6D95-4162-88C3-FF4C6C705FAB}">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93" authorId="1" shapeId="0" xr:uid="{72E23A68-3B1A-459F-9B11-D3877EE891B0}">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94" authorId="0" shapeId="0" xr:uid="{300ACE67-4DBD-4D7E-B28F-38DE4CE5E88F}">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8" authorId="0" shapeId="0" xr:uid="{8A948C60-0070-40DB-BF72-1962F2EBD4CE}">
      <text>
        <r>
          <rPr>
            <b/>
            <sz val="9"/>
            <color rgb="FF000000"/>
            <rFont val="Tahoma"/>
            <family val="2"/>
          </rPr>
          <t xml:space="preserve">Management Guidance: </t>
        </r>
        <r>
          <rPr>
            <sz val="9"/>
            <color rgb="FF000000"/>
            <rFont val="Tahoma"/>
            <family val="2"/>
          </rPr>
          <t xml:space="preserve">International approximately 1,300 new store openings and 1,050 net new stores. Approximately 600 net new stores in China
</t>
        </r>
        <r>
          <rPr>
            <b/>
            <sz val="9"/>
            <color rgb="FF000000"/>
            <rFont val="Tahoma"/>
            <family val="2"/>
          </rPr>
          <t>Source:</t>
        </r>
        <r>
          <rPr>
            <sz val="9"/>
            <color rgb="FF000000"/>
            <rFont val="Tahoma"/>
            <family val="2"/>
          </rPr>
          <t xml:space="preserve"> F1Q2021 Press Release, January 26, 2021</t>
        </r>
      </text>
    </comment>
    <comment ref="N113" authorId="0" shapeId="0" xr:uid="{582E1614-16F0-4896-AA32-7770F114C536}">
      <text>
        <r>
          <rPr>
            <b/>
            <sz val="9"/>
            <color rgb="FF000000"/>
            <rFont val="Tahoma"/>
            <family val="2"/>
          </rPr>
          <t xml:space="preserve">-----------Review of Historic Results------------
</t>
        </r>
        <r>
          <rPr>
            <b/>
            <sz val="9"/>
            <color rgb="FF000000"/>
            <rFont val="Tahoma"/>
            <family val="2"/>
          </rPr>
          <t>MD&amp;A Comment:</t>
        </r>
        <r>
          <rPr>
            <sz val="9"/>
            <color rgb="FF000000"/>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rgb="FF000000"/>
            <rFont val="Tahoma"/>
            <family val="2"/>
          </rPr>
          <t xml:space="preserve">
</t>
        </r>
        <r>
          <rPr>
            <b/>
            <sz val="9"/>
            <color rgb="FF000000"/>
            <rFont val="Tahoma"/>
            <family val="2"/>
          </rPr>
          <t>Source:</t>
        </r>
        <r>
          <rPr>
            <sz val="9"/>
            <color rgb="FF000000"/>
            <rFont val="Tahoma"/>
            <family val="2"/>
          </rPr>
          <t xml:space="preserve"> F1Q2021 10-Q</t>
        </r>
      </text>
    </comment>
    <comment ref="O113" authorId="1" shapeId="0" xr:uid="{C79D31E1-3727-41E7-8C55-36AAFC3B4F8D}">
      <text>
        <r>
          <rPr>
            <b/>
            <sz val="9"/>
            <color rgb="FF000000"/>
            <rFont val="Tahoma"/>
            <family val="2"/>
          </rPr>
          <t>Comment from F3Q2020 Earnings Call:</t>
        </r>
        <r>
          <rPr>
            <sz val="9"/>
            <color rgb="FF000000"/>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B114" authorId="1" shapeId="0" xr:uid="{B7BC65A9-F42C-4C07-93E7-4B8A219E17B2}">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15" authorId="1" shapeId="0" xr:uid="{6F6C19D5-F2E3-417F-A9B0-263EF9490D35}">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15" authorId="0" shapeId="0" xr:uid="{431A0587-4BF9-4156-984F-7F6A95D3A0D9}">
      <text>
        <r>
          <rPr>
            <b/>
            <sz val="9"/>
            <color rgb="FF000000"/>
            <rFont val="Tahoma"/>
            <family val="2"/>
          </rPr>
          <t xml:space="preserve">-----------Review of Historic Results------------
</t>
        </r>
        <r>
          <rPr>
            <b/>
            <sz val="9"/>
            <color rgb="FF000000"/>
            <rFont val="Tahoma"/>
            <family val="2"/>
          </rPr>
          <t>MD&amp;A Comment:</t>
        </r>
        <r>
          <rPr>
            <sz val="9"/>
            <color rgb="FF000000"/>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rgb="FF000000"/>
            <rFont val="Tahoma"/>
            <family val="2"/>
          </rPr>
          <t>Source:</t>
        </r>
        <r>
          <rPr>
            <sz val="9"/>
            <color rgb="FF000000"/>
            <rFont val="Tahoma"/>
            <family val="2"/>
          </rPr>
          <t xml:space="preserve"> F1Q2021 10-Q</t>
        </r>
      </text>
    </comment>
    <comment ref="R115" authorId="0" shapeId="0" xr:uid="{62B5511D-B960-40A6-B3B6-6C614934836A}">
      <text>
        <r>
          <rPr>
            <b/>
            <sz val="9"/>
            <color rgb="FF000000"/>
            <rFont val="Tahoma"/>
            <family val="2"/>
          </rPr>
          <t xml:space="preserve">Management Guidance: </t>
        </r>
        <r>
          <rPr>
            <sz val="9"/>
            <color rgb="FF000000"/>
            <rFont val="Tahoma"/>
            <family val="2"/>
          </rPr>
          <t xml:space="preserve">Channel Development revenue of $1.4 billion to $1.6 billion
</t>
        </r>
        <r>
          <rPr>
            <b/>
            <sz val="9"/>
            <color rgb="FF000000"/>
            <rFont val="Tahoma"/>
            <family val="2"/>
          </rPr>
          <t>Source:</t>
        </r>
        <r>
          <rPr>
            <sz val="9"/>
            <color rgb="FF000000"/>
            <rFont val="Tahoma"/>
            <family val="2"/>
          </rPr>
          <t xml:space="preserve"> F1Q2021 Press Release, January 26, 2021</t>
        </r>
      </text>
    </comment>
    <comment ref="M116" authorId="1" shapeId="0" xr:uid="{F8896D82-57F1-4182-A52A-4B15CD6FDF4E}">
      <text>
        <r>
          <rPr>
            <b/>
            <sz val="9"/>
            <color rgb="FF000000"/>
            <rFont val="Tahoma"/>
            <family val="2"/>
          </rPr>
          <t xml:space="preserve">Management Gudiance: </t>
        </r>
        <r>
          <rPr>
            <sz val="9"/>
            <color rgb="FF000000"/>
            <rFont val="Tahoma"/>
            <family val="2"/>
          </rPr>
          <t xml:space="preserve">Channel Development revenue decline of 5% to 6% for full year.
</t>
        </r>
        <r>
          <rPr>
            <b/>
            <sz val="9"/>
            <color rgb="FF000000"/>
            <rFont val="Tahoma"/>
            <family val="2"/>
          </rPr>
          <t>Source:</t>
        </r>
        <r>
          <rPr>
            <sz val="9"/>
            <color rgb="FF000000"/>
            <rFont val="Tahoma"/>
            <family val="2"/>
          </rPr>
          <t xml:space="preserve"> F3Q2020 Press Release, July 28, 2020</t>
        </r>
      </text>
    </comment>
    <comment ref="N127" authorId="0" shapeId="0" xr:uid="{CC456F0C-D171-44EF-865B-10126EC27CB5}">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H128" authorId="1" shapeId="0" xr:uid="{48332F33-9A49-4097-B2CC-EF0676AE2253}">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8" authorId="1" shapeId="0" xr:uid="{166A2DFE-39E8-4EFA-8318-9395BBC0878C}">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8" authorId="0" shapeId="0" xr:uid="{14CC98D8-BBE4-47B2-9D12-BD1B3D8D3216}">
      <text>
        <r>
          <rPr>
            <b/>
            <sz val="9"/>
            <color rgb="FF000000"/>
            <rFont val="Tahoma"/>
            <family val="2"/>
          </rPr>
          <t xml:space="preserve">-----------Review of Historic Results------------
</t>
        </r>
        <r>
          <rPr>
            <b/>
            <sz val="9"/>
            <color rgb="FF000000"/>
            <rFont val="Tahoma"/>
            <family val="2"/>
          </rPr>
          <t xml:space="preserve">MD&amp;A Comment: </t>
        </r>
        <r>
          <rPr>
            <sz val="9"/>
            <color rgb="FF000000"/>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t>
        </r>
        <r>
          <rPr>
            <sz val="9"/>
            <color rgb="FF000000"/>
            <rFont val="Tahoma"/>
            <family val="2"/>
          </rPr>
          <t xml:space="preserve">
</t>
        </r>
        <r>
          <rPr>
            <sz val="9"/>
            <color rgb="FF000000"/>
            <rFont val="Tahoma"/>
            <family val="2"/>
          </rPr>
          <t xml:space="preserve">Corporate and Other operating loss increased to $356 million for the first fiscal quarter of 2021, or 8%, compared to $330 million for the first fiscal quarter of
</t>
        </r>
        <r>
          <rPr>
            <sz val="9"/>
            <color rgb="FF000000"/>
            <rFont val="Tahoma"/>
            <family val="2"/>
          </rPr>
          <t>2020. This increase was primarily driven by incremental strategic investments in technology and higher performance-based compensation recognizing the strength of the company's overall recovery from pandemic-related business impacts.</t>
        </r>
        <r>
          <rPr>
            <b/>
            <sz val="9"/>
            <color rgb="FF000000"/>
            <rFont val="Tahoma"/>
            <family val="2"/>
          </rPr>
          <t xml:space="preserve">
</t>
        </r>
        <r>
          <rPr>
            <b/>
            <sz val="9"/>
            <color rgb="FF000000"/>
            <rFont val="Tahoma"/>
            <family val="2"/>
          </rPr>
          <t xml:space="preserve">Source: </t>
        </r>
        <r>
          <rPr>
            <sz val="9"/>
            <color rgb="FF000000"/>
            <rFont val="Tahoma"/>
            <family val="2"/>
          </rPr>
          <t>F1Q2021 10-Q</t>
        </r>
      </text>
    </comment>
    <comment ref="H146" authorId="1" shapeId="0" xr:uid="{1C35AB1C-01D5-48EC-AD8C-3A03EDDDD7EE}">
      <text>
        <r>
          <rPr>
            <b/>
            <sz val="9"/>
            <color rgb="FF000000"/>
            <rFont val="Tahoma"/>
            <family val="2"/>
          </rPr>
          <t xml:space="preserve">3Q2019 Earnings call (7/25/2019) guidance for FY2019: </t>
        </r>
        <r>
          <rPr>
            <sz val="9"/>
            <color rgb="FF000000"/>
            <rFont val="Tahoma"/>
            <family val="2"/>
          </rPr>
          <t>Revenue growth of 7%.</t>
        </r>
        <r>
          <rPr>
            <b/>
            <sz val="9"/>
            <color rgb="FF000000"/>
            <rFont val="Tahoma"/>
            <family val="2"/>
          </rPr>
          <t xml:space="preserve">
</t>
        </r>
        <r>
          <rPr>
            <b/>
            <sz val="9"/>
            <color rgb="FF000000"/>
            <rFont val="Tahoma"/>
            <family val="2"/>
          </rPr>
          <t xml:space="preserve">
</t>
        </r>
        <r>
          <rPr>
            <b/>
            <sz val="9"/>
            <color rgb="FF000000"/>
            <rFont val="Tahoma"/>
            <family val="2"/>
          </rPr>
          <t xml:space="preserve">Previous Guidance:
</t>
        </r>
        <r>
          <rPr>
            <b/>
            <sz val="9"/>
            <color rgb="FF000000"/>
            <rFont val="Tahoma"/>
            <family val="2"/>
          </rPr>
          <t xml:space="preserve">2Q2019 Earnings call guidance for FY2019: </t>
        </r>
        <r>
          <rPr>
            <sz val="9"/>
            <color rgb="FF000000"/>
            <rFont val="Tahoma"/>
            <family val="2"/>
          </rPr>
          <t xml:space="preserve">Revenue growth between 5% and 7%.
</t>
        </r>
        <r>
          <rPr>
            <sz val="9"/>
            <color rgb="FF000000"/>
            <rFont val="Tahoma"/>
            <family val="2"/>
          </rPr>
          <t xml:space="preserve">
</t>
        </r>
        <r>
          <rPr>
            <sz val="9"/>
            <color rgb="FF000000"/>
            <rFont val="Tahoma"/>
            <family val="2"/>
          </rPr>
          <t xml:space="preserve">"As a reminder, we will lap the East China acquisition at the
</t>
        </r>
        <r>
          <rPr>
            <sz val="9"/>
            <color rgb="FF000000"/>
            <rFont val="Tahoma"/>
            <family val="2"/>
          </rPr>
          <t xml:space="preserve">beginning of Q2, at which point we will no longer see the year-over-year benefit to our total revenue growth. At the
</t>
        </r>
        <r>
          <rPr>
            <sz val="9"/>
            <color rgb="FF000000"/>
            <rFont val="Tahoma"/>
            <family val="2"/>
          </rPr>
          <t xml:space="preserve">same time, we will still bear the year-over-year revenue headwind from the Global Coffee Alliance. We expect
</t>
        </r>
        <r>
          <rPr>
            <sz val="9"/>
            <color rgb="FF000000"/>
            <rFont val="Tahoma"/>
            <family val="2"/>
          </rPr>
          <t xml:space="preserve">these factors to yield significantly lower revenue growth in Q2 compared to Q1.  
</t>
        </r>
        <r>
          <rPr>
            <sz val="9"/>
            <color rgb="FF000000"/>
            <rFont val="Tahoma"/>
            <family val="2"/>
          </rPr>
          <t xml:space="preserve">
</t>
        </r>
        <r>
          <rPr>
            <sz val="9"/>
            <color rgb="FF000000"/>
            <rFont val="Tahoma"/>
            <family val="2"/>
          </rPr>
          <t xml:space="preserve">Given the fact that Q2 is a seasonally low period for us and with the continued substantial carryover of last year's U.S. tax reform-related
</t>
        </r>
        <r>
          <rPr>
            <sz val="9"/>
            <color rgb="FF000000"/>
            <rFont val="Tahoma"/>
            <family val="2"/>
          </rPr>
          <t xml:space="preserve">investments, we also expect our non-GAAP operating margin percentage to be lower in Q2 compared to Q1.
</t>
        </r>
        <r>
          <rPr>
            <sz val="9"/>
            <color rgb="FF000000"/>
            <rFont val="Tahoma"/>
            <family val="2"/>
          </rPr>
          <t xml:space="preserve">
</t>
        </r>
        <r>
          <rPr>
            <sz val="9"/>
            <color rgb="FF000000"/>
            <rFont val="Tahoma"/>
            <family val="2"/>
          </rPr>
          <t xml:space="preserve">We are in the early phases of our G&amp;A reduction program, having just started in Q1 and the benefits to the P&amp;L
</t>
        </r>
        <r>
          <rPr>
            <sz val="9"/>
            <color rgb="FF000000"/>
            <rFont val="Tahoma"/>
            <family val="2"/>
          </rPr>
          <t xml:space="preserve">will not begin to meaningfully materialize until the back half of the fiscal year. This is an area of continued focus
</t>
        </r>
        <r>
          <rPr>
            <sz val="9"/>
            <color rgb="FF000000"/>
            <rFont val="Tahoma"/>
            <family val="2"/>
          </rPr>
          <t xml:space="preserve">for us and we remain committed to reducing G&amp;A spending as a percentage of system sales over the next three
</t>
        </r>
        <r>
          <rPr>
            <sz val="9"/>
            <color rgb="FF000000"/>
            <rFont val="Tahoma"/>
            <family val="2"/>
          </rPr>
          <t xml:space="preserve">years to drive profitable growth-at-scale, while making the necessary investments in our business. As we start to
</t>
        </r>
        <r>
          <rPr>
            <sz val="9"/>
            <color rgb="FF000000"/>
            <rFont val="Tahoma"/>
            <family val="2"/>
          </rPr>
          <t xml:space="preserve">lap the tax reform-related investments in Q3 and with the benefit of our continued focus on improving G&amp;A
</t>
        </r>
        <r>
          <rPr>
            <sz val="9"/>
            <color rgb="FF000000"/>
            <rFont val="Tahoma"/>
            <family val="2"/>
          </rPr>
          <t xml:space="preserve">efficiency, we expect our non-GAAP operating margin percentage to be higher in the second half of the year
</t>
        </r>
        <r>
          <rPr>
            <sz val="9"/>
            <color rgb="FF000000"/>
            <rFont val="Tahoma"/>
            <family val="2"/>
          </rPr>
          <t xml:space="preserve">compared to the first half, even with the one-time cost of our global leadership conference that will impact Q4.
</t>
        </r>
        <r>
          <rPr>
            <sz val="9"/>
            <color rgb="FF000000"/>
            <rFont val="Tahoma"/>
            <family val="2"/>
          </rPr>
          <t>Please note that all of this is consistent with our full year guidance for 2019.</t>
        </r>
      </text>
    </comment>
    <comment ref="L146" authorId="1" shapeId="0" xr:uid="{9437506E-AAE8-4EA5-8DCE-54BE76CB84C9}">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R147" authorId="0" shapeId="0" xr:uid="{175518A7-74E8-4CB6-8C29-4645E45ED5A4}">
      <text>
        <r>
          <rPr>
            <b/>
            <sz val="9"/>
            <color rgb="FF000000"/>
            <rFont val="Tahoma"/>
            <family val="2"/>
          </rPr>
          <t xml:space="preserve">Management Guidance: </t>
        </r>
        <r>
          <rPr>
            <sz val="9"/>
            <color rgb="FF000000"/>
            <rFont val="Tahoma"/>
            <family val="2"/>
          </rPr>
          <t xml:space="preserve">  Consolidated GAAP operating margin of 14% to 15%.
</t>
        </r>
        <r>
          <rPr>
            <b/>
            <sz val="9"/>
            <color rgb="FF000000"/>
            <rFont val="Tahoma"/>
            <family val="2"/>
          </rPr>
          <t>Source:</t>
        </r>
        <r>
          <rPr>
            <sz val="9"/>
            <color rgb="FF000000"/>
            <rFont val="Tahoma"/>
            <family val="2"/>
          </rPr>
          <t xml:space="preserve"> F1Q2021 Press Release, January 26, 2021</t>
        </r>
      </text>
    </comment>
    <comment ref="R148" authorId="0" shapeId="0" xr:uid="{049A39DD-5FCD-4BB3-824B-3AF70F305F0D}">
      <text>
        <r>
          <rPr>
            <b/>
            <sz val="9"/>
            <color rgb="FF000000"/>
            <rFont val="Tahoma"/>
            <family val="2"/>
          </rPr>
          <t>Management Guidance:</t>
        </r>
        <r>
          <rPr>
            <sz val="9"/>
            <color rgb="FF000000"/>
            <rFont val="Tahoma"/>
            <family val="2"/>
          </rPr>
          <t xml:space="preserve">   Consolidated Non-GAAP operating margin of 16% to 17%
</t>
        </r>
        <r>
          <rPr>
            <b/>
            <sz val="9"/>
            <color rgb="FF000000"/>
            <rFont val="Tahoma"/>
            <family val="2"/>
          </rPr>
          <t>Source:</t>
        </r>
        <r>
          <rPr>
            <sz val="9"/>
            <color rgb="FF000000"/>
            <rFont val="Tahoma"/>
            <family val="2"/>
          </rPr>
          <t xml:space="preserve"> F1Q2021 Press Release, January 26, 2021</t>
        </r>
      </text>
    </comment>
    <comment ref="H149" authorId="1" shapeId="0" xr:uid="{FF8C1753-1E46-4A26-9CE9-6BD26F86F0ED}">
      <text>
        <r>
          <rPr>
            <b/>
            <sz val="9"/>
            <color rgb="FF000000"/>
            <rFont val="Tahoma"/>
            <family val="2"/>
          </rPr>
          <t xml:space="preserve">F3Q2019 Earnings call (7/25/2019) guidance for FY2019: </t>
        </r>
        <r>
          <rPr>
            <sz val="9"/>
            <color rgb="FF000000"/>
            <rFont val="Tahoma"/>
            <family val="2"/>
          </rPr>
          <t>19% to 20%, Non-GAAP tax rate in the range of 19% to 20%.</t>
        </r>
        <r>
          <rPr>
            <b/>
            <sz val="9"/>
            <color rgb="FF000000"/>
            <rFont val="Tahoma"/>
            <family val="2"/>
          </rPr>
          <t xml:space="preserve">
</t>
        </r>
        <r>
          <rPr>
            <b/>
            <sz val="9"/>
            <color rgb="FF000000"/>
            <rFont val="Tahoma"/>
            <family val="2"/>
          </rPr>
          <t xml:space="preserve">
</t>
        </r>
        <r>
          <rPr>
            <b/>
            <sz val="9"/>
            <color rgb="FF000000"/>
            <rFont val="Tahoma"/>
            <family val="2"/>
          </rPr>
          <t xml:space="preserve">Previous Guidance:
</t>
        </r>
        <r>
          <rPr>
            <b/>
            <sz val="9"/>
            <color rgb="FF000000"/>
            <rFont val="Tahoma"/>
            <family val="2"/>
          </rPr>
          <t xml:space="preserve">F2Q2019 Earnings call guidance for FY2019: </t>
        </r>
        <r>
          <rPr>
            <sz val="9"/>
            <color rgb="FF000000"/>
            <rFont val="Tahoma"/>
            <family val="2"/>
          </rPr>
          <t xml:space="preserve">20% to 22%, Non-GAAP tax rate in the range of 19% to 21%.
</t>
        </r>
        <r>
          <rPr>
            <b/>
            <sz val="9"/>
            <color rgb="FF000000"/>
            <rFont val="Tahoma"/>
            <family val="2"/>
          </rPr>
          <t>F1Q2019 Earnings call guidance for FY2019:</t>
        </r>
        <r>
          <rPr>
            <sz val="9"/>
            <color rgb="FF000000"/>
            <rFont val="Tahoma"/>
            <family val="2"/>
          </rPr>
          <t xml:space="preserve"> 21% to 23%</t>
        </r>
      </text>
    </comment>
    <comment ref="L149" authorId="1" shapeId="0" xr:uid="{B48C6209-ABE8-48D3-A364-927840B5D627}">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9" authorId="0" shapeId="0" xr:uid="{BE69E549-E84A-4CEA-A31F-64F9C50D3E5A}">
      <text>
        <r>
          <rPr>
            <b/>
            <sz val="9"/>
            <color rgb="FF000000"/>
            <rFont val="Tahoma"/>
            <family val="2"/>
          </rPr>
          <t xml:space="preserve">Management Guidance:  </t>
        </r>
        <r>
          <rPr>
            <sz val="9"/>
            <color rgb="FF000000"/>
            <rFont val="Tahoma"/>
            <family val="2"/>
          </rPr>
          <t xml:space="preserve"> GAAP and non-GAAP effective tax rates in the mid-20%s
</t>
        </r>
        <r>
          <rPr>
            <b/>
            <sz val="9"/>
            <color rgb="FF000000"/>
            <rFont val="Tahoma"/>
            <family val="2"/>
          </rPr>
          <t>Source:</t>
        </r>
        <r>
          <rPr>
            <sz val="9"/>
            <color rgb="FF000000"/>
            <rFont val="Tahoma"/>
            <family val="2"/>
          </rPr>
          <t xml:space="preserve"> F1Q2021 Press Release, January 26, 2021</t>
        </r>
      </text>
    </comment>
    <comment ref="B151" authorId="1" shapeId="0" xr:uid="{5E57D7F0-93DF-49AD-AB4A-A75ED4E476EB}">
      <text>
        <r>
          <rPr>
            <b/>
            <sz val="9"/>
            <color rgb="FF000000"/>
            <rFont val="Tahoma"/>
            <family val="2"/>
          </rPr>
          <t>Note:</t>
        </r>
        <r>
          <rPr>
            <sz val="9"/>
            <color rgb="FF000000"/>
            <rFont val="Tahoma"/>
            <family val="2"/>
          </rPr>
          <t xml:space="preserve"> Item 2 Unregistered Sales of Equity Securities includes the ASRs. They have been seperated here. (Refer to F1Q2019 and F2Q2019 to reconcile)</t>
        </r>
      </text>
    </comment>
    <comment ref="B166" authorId="1" shapeId="0" xr:uid="{58D8CCCC-3B51-4BC1-80F6-94E15BB5543B}">
      <text>
        <r>
          <rPr>
            <sz val="9"/>
            <color rgb="FF000000"/>
            <rFont val="Tahoma"/>
            <family val="2"/>
          </rPr>
          <t xml:space="preserve">Includes transaction costs for the acquisition of our East China joint venture; ongoing amortization expense of acquired
</t>
        </r>
        <r>
          <rPr>
            <sz val="9"/>
            <color rgb="FF000000"/>
            <rFont val="Tahoma"/>
            <family val="2"/>
          </rPr>
          <t>intangible assets associated with the acquisition of East China and Starbucks Japan; and the related post-acquisition integration costs, such as incremental information technology and compensation-related costs</t>
        </r>
      </text>
    </comment>
    <comment ref="B173" authorId="1" shapeId="0" xr:uid="{9E3EA218-B254-4B9D-ADCC-E9A85D09C50D}">
      <text>
        <r>
          <rPr>
            <b/>
            <sz val="9"/>
            <color indexed="81"/>
            <rFont val="Tahoma"/>
            <family val="2"/>
          </rPr>
          <t>Enter negative EPS income tax effect as positive on this line</t>
        </r>
      </text>
    </comment>
  </commentList>
</comments>
</file>

<file path=xl/sharedStrings.xml><?xml version="1.0" encoding="utf-8"?>
<sst xmlns="http://schemas.openxmlformats.org/spreadsheetml/2006/main" count="414" uniqueCount="186">
  <si>
    <t>Notes &amp; Instructions</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</si>
  <si>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</si>
  <si>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</si>
  <si>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</si>
  <si>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</si>
  <si>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i/>
        <sz val="11"/>
        <color theme="1"/>
        <rFont val="Calibri"/>
        <family val="2"/>
        <scheme val="minor"/>
      </rPr>
      <t xml:space="preserve">Income Statement: </t>
    </r>
    <r>
      <rPr>
        <sz val="11"/>
        <color theme="1"/>
        <rFont val="Calibri"/>
        <family val="2"/>
        <scheme val="minor"/>
      </rPr>
      <t>The primary drivers of this model are the estimates of Comp Store Sales, Net New Stores, and the ratio of Operating expenses (excluding depreciation) as a percentage of revenue, for each geographic region.  Management's guidance is used as a reasonableness check against the forecasts entered into this model. Total revenue is calibrated to meet consensus estimates.</t>
    </r>
  </si>
  <si>
    <r>
      <rPr>
        <i/>
        <sz val="11"/>
        <color theme="1"/>
        <rFont val="Calibri"/>
        <family val="2"/>
        <scheme val="minor"/>
      </rPr>
      <t>To reflect the fact that not all of the individual metrics used in the comparable store sales estimate are disclosed by the company, the following steps are used to estimate the historic comparable sales inputs.</t>
    </r>
    <r>
      <rPr>
        <b/>
        <i/>
        <sz val="11"/>
        <color theme="1"/>
        <rFont val="Calibri"/>
        <family val="2"/>
        <scheme val="minor"/>
      </rPr>
      <t xml:space="preserve">
Method for using Comparable Store Sales in this model:</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Estimate the number of stores included in the comp store sales calculation as the number of stores from four quarters ago.
</t>
    </r>
    <r>
      <rPr>
        <b/>
        <sz val="11"/>
        <color theme="1"/>
        <rFont val="Calibri"/>
        <family val="2"/>
        <scheme val="minor"/>
      </rPr>
      <t>Step 2)</t>
    </r>
    <r>
      <rPr>
        <sz val="11"/>
        <color theme="1"/>
        <rFont val="Calibri"/>
        <family val="2"/>
        <scheme val="minor"/>
      </rPr>
      <t xml:space="preserve"> Calculate the ratio of total revenue to the total number of stores at the end of the period (theoretically should use average number of stores, however this is a simplified approach and given the relatively low level of precision with over all comp stores sales, this approach should be reasonable).
</t>
    </r>
    <r>
      <rPr>
        <b/>
        <sz val="11"/>
        <color theme="1"/>
        <rFont val="Calibri"/>
        <family val="2"/>
        <scheme val="minor"/>
      </rPr>
      <t>Step 3)</t>
    </r>
    <r>
      <rPr>
        <sz val="11"/>
        <color theme="1"/>
        <rFont val="Calibri"/>
        <family val="2"/>
        <scheme val="minor"/>
      </rPr>
      <t xml:space="preserve"> Estimate the "other" revenue which is not included in the Comp Store Sales number related to the stores which have not been open for more than 13 months. The simplified approach to estimating this revenue is to take the total number of stores which were not included in Step 1, and multiply by the simple average revenue per store during the quarter. Note that since the impact of fx changes are excluded from comp store sales, the fx impact is inherently captured in this category for remaining revenue.
</t>
    </r>
    <r>
      <rPr>
        <b/>
        <sz val="11"/>
        <color theme="1"/>
        <rFont val="Calibri"/>
        <family val="2"/>
        <scheme val="minor"/>
      </rPr>
      <t>Step 4)</t>
    </r>
    <r>
      <rPr>
        <sz val="11"/>
        <color theme="1"/>
        <rFont val="Calibri"/>
        <family val="2"/>
        <scheme val="minor"/>
      </rPr>
      <t xml:space="preserve"> Use the "Goal Seek" function to solve for the comparable prior period Comp Store Sales dollar amount which will make the reported total Comp Store Sales percentage equal the total revenue for the segment. This metric will be "trued-up" each quarter as an additional Comp Store Sales percentage observation is made available. 
</t>
    </r>
    <r>
      <rPr>
        <b/>
        <sz val="11"/>
        <color theme="1"/>
        <rFont val="Calibri"/>
        <family val="2"/>
        <scheme val="minor"/>
      </rPr>
      <t xml:space="preserve">Step 5) </t>
    </r>
    <r>
      <rPr>
        <sz val="11"/>
        <color theme="1"/>
        <rFont val="Calibri"/>
        <family val="2"/>
        <scheme val="minor"/>
      </rPr>
      <t xml:space="preserve">Change the comparable period from the previous year "Other" revenue so that the total segment revenue reconciles.
</t>
    </r>
    <r>
      <rPr>
        <b/>
        <sz val="11"/>
        <color theme="1"/>
        <rFont val="Calibri"/>
        <family val="2"/>
        <scheme val="minor"/>
      </rPr>
      <t>Note:</t>
    </r>
    <r>
      <rPr>
        <sz val="11"/>
        <color theme="1"/>
        <rFont val="Calibri"/>
        <family val="2"/>
        <scheme val="minor"/>
      </rPr>
      <t xml:space="preserve"> Since the company does not disclose the number of stores in the Comp Store Sales calculation, or the revenue for the other stores, there is no way to verify if the historic results for the Comp Store Sales components are accurate. Therefore, the components in the historical periods are shaded blue to indicate that these values represent estimates.
</t>
    </r>
    <r>
      <rPr>
        <b/>
        <sz val="11"/>
        <color theme="1"/>
        <rFont val="Calibri"/>
        <family val="2"/>
        <scheme val="minor"/>
      </rPr>
      <t xml:space="preserve">NOTE 1-Comp Store Sales: </t>
    </r>
    <r>
      <rPr>
        <sz val="11"/>
        <color theme="1"/>
        <rFont val="Calibri"/>
        <family val="2"/>
        <scheme val="minor"/>
      </rPr>
      <t>Comp store sales only include Company-operated stores which have been open 13 months or longer. Comparable store sales exclude the effects of fluctuations in foreign currency exchange rates and Siren Retail stores. Stores that are temporarily closed or operating at reduced hours due to the COVID-19 outbreak remain in comparable store sales while stores identified for permanent closure have been removed.</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</si>
  <si>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</si>
  <si>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</si>
  <si>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</si>
  <si>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</si>
  <si>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</si>
  <si>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rPr>
        <b/>
        <sz val="11"/>
        <color theme="1"/>
        <rFont val="Calibri"/>
        <family val="2"/>
        <scheme val="minor"/>
      </rPr>
      <t xml:space="preserve">Equity Section: </t>
    </r>
    <r>
      <rPr>
        <sz val="11"/>
        <color theme="1"/>
        <rFont val="Calibri"/>
        <family val="2"/>
        <scheme val="minor"/>
      </rPr>
      <t>Common stock is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</si>
  <si>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</si>
  <si>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</si>
  <si>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</si>
  <si>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</si>
  <si>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</si>
  <si>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</si>
  <si>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t>GR</t>
  </si>
  <si>
    <t>By obtaining this model you are deemed to have read and agreed to our Terms of Use. Visit our website for details: https://www.gutenbergresearch.com/terms-of-use.html</t>
  </si>
  <si>
    <t>Purple cells = Company guidance (updated 3/14/2021)</t>
  </si>
  <si>
    <t>Orange cells = Consensus estimates (updated 3/14/2021)</t>
  </si>
  <si>
    <t xml:space="preserve"> </t>
  </si>
  <si>
    <t>Starbucks Income Statement</t>
  </si>
  <si>
    <t>Dec-18</t>
  </si>
  <si>
    <t>Mar-19</t>
  </si>
  <si>
    <t>June-19</t>
  </si>
  <si>
    <t>Sept-19</t>
  </si>
  <si>
    <t>Dec-19</t>
  </si>
  <si>
    <t>Mar-20</t>
  </si>
  <si>
    <t>June-20</t>
  </si>
  <si>
    <t>Sept-20</t>
  </si>
  <si>
    <t>Dec-20</t>
  </si>
  <si>
    <t>Mar-21E</t>
  </si>
  <si>
    <t>June-21E</t>
  </si>
  <si>
    <t>Sept-21E</t>
  </si>
  <si>
    <t>Dec-21E</t>
  </si>
  <si>
    <t>Mar-22E</t>
  </si>
  <si>
    <t>June-22E</t>
  </si>
  <si>
    <t>Sept-22E</t>
  </si>
  <si>
    <t>(Dollars in millions, except per share data)</t>
  </si>
  <si>
    <t>F1Q19</t>
  </si>
  <si>
    <t>F2Q19</t>
  </si>
  <si>
    <t>F3Q19</t>
  </si>
  <si>
    <t>F4Q19</t>
  </si>
  <si>
    <t>FY 2019</t>
  </si>
  <si>
    <t>F1Q20</t>
  </si>
  <si>
    <t>F2Q20</t>
  </si>
  <si>
    <t>F3Q20</t>
  </si>
  <si>
    <t>F4Q20</t>
  </si>
  <si>
    <t>FY 2020</t>
  </si>
  <si>
    <t>F1Q21</t>
  </si>
  <si>
    <t>F2Q21E</t>
  </si>
  <si>
    <t>F3Q21E</t>
  </si>
  <si>
    <t>F4Q21E</t>
  </si>
  <si>
    <t>FY 2021E</t>
  </si>
  <si>
    <t>F1Q22E</t>
  </si>
  <si>
    <t>F2Q22E</t>
  </si>
  <si>
    <t>F3Q22E</t>
  </si>
  <si>
    <t>F4Q22E</t>
  </si>
  <si>
    <t>FY 2022E</t>
  </si>
  <si>
    <t>Revenue - Company-operated stores</t>
  </si>
  <si>
    <t>Revenue - Licensed stores revenue</t>
  </si>
  <si>
    <t>Revenue - Product, Services, and Other</t>
  </si>
  <si>
    <t>Total revenues</t>
  </si>
  <si>
    <t>Product and distribution costs</t>
  </si>
  <si>
    <t>Store operating expenses</t>
  </si>
  <si>
    <t>Other operating expenses</t>
  </si>
  <si>
    <t>Depreciation and amortization expenses</t>
  </si>
  <si>
    <t>General and administrative expenses (GAAP)</t>
  </si>
  <si>
    <t>Restructuring and impairments</t>
  </si>
  <si>
    <t>Total operating expenses</t>
  </si>
  <si>
    <t>Income from equity investees</t>
  </si>
  <si>
    <t>Total operating income/(loss)</t>
  </si>
  <si>
    <t>Non-GAAP operating income adjustments</t>
  </si>
  <si>
    <t xml:space="preserve">Non-GAAP operating income </t>
  </si>
  <si>
    <t>Gain on acquisition of JV/disposition of business</t>
  </si>
  <si>
    <t>Interest income and other</t>
  </si>
  <si>
    <t>Interest expense</t>
  </si>
  <si>
    <t>Income/(loss) before income tax</t>
  </si>
  <si>
    <t>Provisions for income tax</t>
  </si>
  <si>
    <t>Net income including noncontrolling interest</t>
  </si>
  <si>
    <t xml:space="preserve">Net earnings attributable to noncontrolling interest </t>
  </si>
  <si>
    <t xml:space="preserve">   Net income attributable to common shareholders</t>
  </si>
  <si>
    <t>Non-GAAP net income adjustments</t>
  </si>
  <si>
    <t xml:space="preserve">Non-GAAP net income </t>
  </si>
  <si>
    <t>Basic shares outstanding</t>
  </si>
  <si>
    <t xml:space="preserve">Diluted shares outstanding </t>
  </si>
  <si>
    <t xml:space="preserve">Basic EPS </t>
  </si>
  <si>
    <t xml:space="preserve">Diluted EPS </t>
  </si>
  <si>
    <t>Non-GAAP diluted EPS</t>
  </si>
  <si>
    <t>Cash dividend</t>
  </si>
  <si>
    <t>Segment Data</t>
  </si>
  <si>
    <t>Americas (GAAP)</t>
  </si>
  <si>
    <t>Americas company-operated stores</t>
  </si>
  <si>
    <t xml:space="preserve">Net new company operated stores added </t>
  </si>
  <si>
    <t>Estimated stores included in comp sales calculation [step 1]</t>
  </si>
  <si>
    <t>Estimated revenue per store in comp sales calc ($M) [step 4]</t>
  </si>
  <si>
    <t>Comp store sales - Transaction</t>
  </si>
  <si>
    <t>Comp store sales - Ticket</t>
  </si>
  <si>
    <t>Comp store sales - Total</t>
  </si>
  <si>
    <r>
      <t xml:space="preserve">Other company-operated revenue (stores open less than 13 months and FX) </t>
    </r>
    <r>
      <rPr>
        <i/>
        <sz val="11"/>
        <color theme="3"/>
        <rFont val="Calibri"/>
        <family val="2"/>
        <scheme val="minor"/>
      </rPr>
      <t>[step 3]</t>
    </r>
  </si>
  <si>
    <t>Americas Revenue: Company-operated stores ($M)</t>
  </si>
  <si>
    <t>Revenue per company operated store [step 2]</t>
  </si>
  <si>
    <t>Comp sale revenue reconciliation [step 5]</t>
  </si>
  <si>
    <t>Americas licensed stores</t>
  </si>
  <si>
    <t xml:space="preserve">Net new licensed  stores added </t>
  </si>
  <si>
    <t>Average licensed stores in the period</t>
  </si>
  <si>
    <t>Average revenue per licensed store</t>
  </si>
  <si>
    <t>Americas Revenue: licensed stores ($M)</t>
  </si>
  <si>
    <t>Americas Revenue: Other</t>
  </si>
  <si>
    <t>Other revenue YoY growth rate</t>
  </si>
  <si>
    <t>Americas total stores</t>
  </si>
  <si>
    <t>Americas total net store additions</t>
  </si>
  <si>
    <t>Americas total net revenues ($M)</t>
  </si>
  <si>
    <t>Product/dist costs (as % of total segment revenue)</t>
  </si>
  <si>
    <t xml:space="preserve"> Store opex (as % of comp-op store revenue)</t>
  </si>
  <si>
    <t xml:space="preserve"> Other opex (as % of total segment revenue)</t>
  </si>
  <si>
    <t>General and administrative expenses</t>
  </si>
  <si>
    <t>G&amp;A expense (as % of total segment revenue)</t>
  </si>
  <si>
    <t>Americas total operating expenses</t>
  </si>
  <si>
    <t>Americas total operating income</t>
  </si>
  <si>
    <t>Americas total operating margin (%)</t>
  </si>
  <si>
    <t>International Segment (GAAP)</t>
  </si>
  <si>
    <t>International company-operated stores</t>
  </si>
  <si>
    <r>
      <t>Other company-operated revenue (stores open less than 13 months and FX)</t>
    </r>
    <r>
      <rPr>
        <i/>
        <sz val="11"/>
        <color theme="3"/>
        <rFont val="Calibri"/>
        <family val="2"/>
        <scheme val="minor"/>
      </rPr>
      <t xml:space="preserve"> [step 3]</t>
    </r>
  </si>
  <si>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</si>
  <si>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</si>
  <si>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</si>
  <si>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</si>
  <si>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</si>
  <si>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</si>
  <si>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</si>
  <si>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</si>
  <si>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</si>
  <si>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</si>
  <si>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(GAAP)</t>
  </si>
  <si>
    <t>Channel Development Revenue</t>
  </si>
  <si>
    <t>Revenue YoY growth rate</t>
  </si>
  <si>
    <t>Other opex (as % of comp-op store revenue)</t>
  </si>
  <si>
    <t>Channel Dev Total operating expenses</t>
  </si>
  <si>
    <t>Channel Dev Total operating income</t>
  </si>
  <si>
    <t>Channel Dev Total operating margin (%)</t>
  </si>
  <si>
    <t>Corporate &amp; Other  (GAAP)</t>
  </si>
  <si>
    <t>Net revenues ($M)</t>
  </si>
  <si>
    <t>Net revenue YoY growth rate</t>
  </si>
  <si>
    <t>Corp &amp; Other Total operating expenses</t>
  </si>
  <si>
    <t>Corp &amp; Other Total operating income</t>
  </si>
  <si>
    <t>Reconciliation</t>
  </si>
  <si>
    <t>Company-operated revenue</t>
  </si>
  <si>
    <t>Licensed store revenue</t>
  </si>
  <si>
    <t>Other revenue</t>
  </si>
  <si>
    <t>Operating Income</t>
  </si>
  <si>
    <t>Ratio Analysis</t>
  </si>
  <si>
    <t>Revenue growth rate (GAAP, YoY)</t>
  </si>
  <si>
    <t>Operating margin (GAAP)</t>
  </si>
  <si>
    <t>Operating margin (Non-GAAP)</t>
  </si>
  <si>
    <t>Effective tax rate</t>
  </si>
  <si>
    <t>Non-GAAP EPS Growth (YoY)</t>
  </si>
  <si>
    <t>Share Count Analysis</t>
  </si>
  <si>
    <t>Change in basic shares  (excluding repurchases)</t>
  </si>
  <si>
    <t>Change in diluted shares  (excluding repurchases)</t>
  </si>
  <si>
    <t>Share repurchase assumptions: average price (exASRs)</t>
  </si>
  <si>
    <t>Share repurchase: amount in the period ($M, exASRs)</t>
  </si>
  <si>
    <t>Shares repurchased (in millions, exASRs)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</si>
  <si>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</si>
  <si>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</si>
  <si>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</si>
  <si>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</si>
  <si>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</si>
  <si>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</si>
  <si>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Non-GAAP Adjustments</t>
  </si>
  <si>
    <t>Restructuring and impairments (Operating expenses)</t>
  </si>
  <si>
    <t>Nestle Transaction (Operating expenses)</t>
  </si>
  <si>
    <t>International transaction and integration related costs</t>
  </si>
  <si>
    <t>Stock Awards (Operating expenses)</t>
  </si>
  <si>
    <t>All Other  (Operating expense)</t>
  </si>
  <si>
    <t>Total impact on operating expenses</t>
  </si>
  <si>
    <t>Impact of extra week  (Operating income)</t>
  </si>
  <si>
    <t>Total impact on operating income</t>
  </si>
  <si>
    <t>Gain/(loss) on acquisitions and divestitures (Net income)</t>
  </si>
  <si>
    <t>Income tax impact of adjustments and other (Net income)</t>
  </si>
  <si>
    <t>Income tax impact and other as % of operating income adj</t>
  </si>
  <si>
    <r>
      <t xml:space="preserve">Last updated: </t>
    </r>
    <r>
      <rPr>
        <sz val="11"/>
        <color theme="1"/>
        <rFont val="Calibri"/>
        <family val="2"/>
        <scheme val="minor"/>
      </rPr>
      <t>8/9/2020</t>
    </r>
  </si>
  <si>
    <t>Blue cells = Primary estimates (updated 3/14/2021)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</si>
</sst>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 numFmtId="226" formatCode="0.000%"/>
  </numFmts>
  <fonts count="8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u/>
      <sz val="9"/>
      <color indexed="81"/>
      <name val="Tahoma"/>
      <family val="2"/>
    </font>
    <font>
      <i/>
      <sz val="11"/>
      <name val="Calibri"/>
      <family val="2"/>
      <scheme val="minor"/>
    </font>
    <font>
      <i/>
      <sz val="11"/>
      <color rgb="FFFF0000"/>
      <name val="Calibri"/>
      <family val="2"/>
      <scheme val="minor"/>
    </font>
    <font>
      <b/>
      <sz val="9"/>
      <color rgb="FF000000"/>
      <name val="Tahoma"/>
      <family val="2"/>
    </font>
    <font>
      <sz val="9"/>
      <color rgb="FF000000"/>
      <name val="Tahoma"/>
      <family val="2"/>
    </font>
    <font>
      <u/>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medium">
        <color auto="1"/>
      </bottom>
      <diagonal/>
    </border>
  </borders>
  <cellStyleXfs count="33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14" fontId="34" fillId="6" borderId="36">
      <alignment horizontal="center" vertical="center" wrapText="1"/>
    </xf>
    <xf numFmtId="196" fontId="28" fillId="0" borderId="36">
      <protection hidden="1"/>
    </xf>
    <xf numFmtId="196" fontId="28" fillId="0" borderId="36">
      <protection hidden="1"/>
    </xf>
    <xf numFmtId="37" fontId="49" fillId="0" borderId="36">
      <alignment horizontal="right"/>
      <protection locked="0"/>
    </xf>
    <xf numFmtId="37" fontId="50" fillId="0" borderId="36">
      <alignment horizontal="right"/>
      <protection locked="0"/>
    </xf>
  </cellStyleXfs>
  <cellXfs count="338">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43" fontId="4" fillId="0" borderId="0" xfId="1" applyFont="1" applyAlignment="1">
      <alignment horizontal="right"/>
    </xf>
    <xf numFmtId="9" fontId="4" fillId="0" borderId="0" xfId="2" applyFont="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4" fillId="0" borderId="0" xfId="1" applyNumberFormat="1" applyFont="1" applyAlignment="1">
      <alignment horizontal="left"/>
    </xf>
    <xf numFmtId="164" fontId="54" fillId="3" borderId="0" xfId="1" quotePrefix="1" applyNumberFormat="1" applyFont="1" applyFill="1" applyAlignment="1">
      <alignment horizontal="right"/>
    </xf>
    <xf numFmtId="164" fontId="56" fillId="2" borderId="2" xfId="1" quotePrefix="1" applyNumberFormat="1" applyFont="1" applyFill="1" applyBorder="1" applyAlignment="1">
      <alignment horizontal="right"/>
    </xf>
    <xf numFmtId="164" fontId="57"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0" fillId="0" borderId="0" xfId="1" applyNumberFormat="1" applyFont="1" applyAlignment="1">
      <alignment horizontal="right"/>
    </xf>
    <xf numFmtId="165" fontId="60" fillId="0" borderId="5" xfId="1" applyNumberFormat="1" applyFont="1" applyBorder="1" applyAlignment="1">
      <alignment horizontal="right"/>
    </xf>
    <xf numFmtId="0" fontId="4" fillId="0" borderId="4" xfId="0" applyFont="1" applyBorder="1"/>
    <xf numFmtId="0" fontId="61" fillId="0" borderId="4" xfId="0" applyFont="1" applyBorder="1"/>
    <xf numFmtId="0" fontId="61" fillId="0" borderId="0" xfId="0" applyFont="1"/>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0" fillId="0" borderId="0" xfId="0" applyFont="1"/>
    <xf numFmtId="43" fontId="61" fillId="0" borderId="0" xfId="1" applyFont="1" applyAlignment="1">
      <alignment horizontal="right"/>
    </xf>
    <xf numFmtId="43" fontId="61" fillId="0" borderId="5" xfId="1" applyFont="1" applyBorder="1" applyAlignment="1">
      <alignment horizontal="right"/>
    </xf>
    <xf numFmtId="165" fontId="60" fillId="0" borderId="5" xfId="1" quotePrefix="1" applyNumberFormat="1" applyFont="1" applyBorder="1" applyAlignment="1">
      <alignment horizontal="right"/>
    </xf>
    <xf numFmtId="165" fontId="64" fillId="0" borderId="0" xfId="2" applyNumberFormat="1" applyFont="1" applyAlignment="1">
      <alignment horizontal="right"/>
    </xf>
    <xf numFmtId="166" fontId="60" fillId="0" borderId="0" xfId="2" applyNumberFormat="1" applyFont="1" applyAlignment="1">
      <alignment horizontal="right"/>
    </xf>
    <xf numFmtId="9" fontId="60" fillId="0" borderId="5" xfId="2" applyFont="1" applyBorder="1" applyAlignment="1">
      <alignment horizontal="right"/>
    </xf>
    <xf numFmtId="166" fontId="60" fillId="0" borderId="5" xfId="2" applyNumberFormat="1" applyFont="1" applyBorder="1" applyAlignment="1">
      <alignment horizontal="right"/>
    </xf>
    <xf numFmtId="9" fontId="60" fillId="0" borderId="0" xfId="2" applyFont="1" applyAlignment="1">
      <alignment horizontal="right"/>
    </xf>
    <xf numFmtId="164" fontId="60" fillId="0" borderId="5" xfId="1" quotePrefix="1" applyNumberFormat="1" applyFont="1" applyBorder="1" applyAlignment="1">
      <alignment horizontal="right"/>
    </xf>
    <xf numFmtId="165" fontId="62" fillId="9" borderId="0" xfId="1" applyNumberFormat="1" applyFont="1" applyFill="1" applyAlignment="1">
      <alignment horizontal="right"/>
    </xf>
    <xf numFmtId="165" fontId="60" fillId="9" borderId="0" xfId="1" applyNumberFormat="1" applyFont="1" applyFill="1" applyAlignment="1">
      <alignment horizontal="right"/>
    </xf>
    <xf numFmtId="9" fontId="60" fillId="9" borderId="0" xfId="2" applyFont="1" applyFill="1" applyAlignment="1">
      <alignment horizontal="right"/>
    </xf>
    <xf numFmtId="166" fontId="60" fillId="9" borderId="0" xfId="2" applyNumberFormat="1" applyFont="1" applyFill="1" applyAlignment="1">
      <alignment horizontal="right"/>
    </xf>
    <xf numFmtId="7" fontId="60" fillId="0" borderId="0" xfId="1" applyNumberFormat="1" applyFont="1" applyAlignment="1">
      <alignment horizontal="right"/>
    </xf>
    <xf numFmtId="7" fontId="4" fillId="0" borderId="5" xfId="1" applyNumberFormat="1" applyFont="1" applyBorder="1" applyAlignment="1">
      <alignment horizontal="right"/>
    </xf>
    <xf numFmtId="7" fontId="60" fillId="9" borderId="0" xfId="1" applyNumberFormat="1" applyFont="1" applyFill="1" applyAlignment="1">
      <alignment horizontal="right"/>
    </xf>
    <xf numFmtId="165" fontId="60" fillId="0" borderId="8" xfId="1" applyNumberFormat="1" applyFont="1" applyBorder="1" applyAlignment="1">
      <alignment horizontal="right"/>
    </xf>
    <xf numFmtId="0" fontId="4" fillId="0" borderId="4" xfId="0" applyFont="1" applyBorder="1" applyAlignment="1">
      <alignment horizontal="left"/>
    </xf>
    <xf numFmtId="0" fontId="60" fillId="0" borderId="3" xfId="0" applyFont="1" applyBorder="1" applyAlignment="1">
      <alignment horizontal="left" indent="2"/>
    </xf>
    <xf numFmtId="164" fontId="56" fillId="2" borderId="31" xfId="1" quotePrefix="1" applyNumberFormat="1" applyFont="1" applyFill="1" applyBorder="1" applyAlignment="1">
      <alignment horizontal="right"/>
    </xf>
    <xf numFmtId="164" fontId="57" fillId="2" borderId="5" xfId="1" quotePrefix="1" applyNumberFormat="1" applyFont="1" applyFill="1" applyBorder="1" applyAlignment="1">
      <alignment horizontal="right"/>
    </xf>
    <xf numFmtId="164" fontId="2" fillId="3" borderId="31"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167" fontId="60" fillId="0" borderId="0" xfId="1" applyNumberFormat="1" applyFont="1" applyAlignment="1">
      <alignment horizontal="right"/>
    </xf>
    <xf numFmtId="0" fontId="2" fillId="0" borderId="0" xfId="0" applyFont="1"/>
    <xf numFmtId="0" fontId="60" fillId="0" borderId="4" xfId="0" applyFont="1" applyBorder="1"/>
    <xf numFmtId="43" fontId="61" fillId="0" borderId="8" xfId="1" applyFont="1" applyBorder="1" applyAlignment="1">
      <alignment horizontal="right"/>
    </xf>
    <xf numFmtId="9" fontId="4" fillId="0" borderId="0" xfId="1" applyNumberFormat="1" applyFont="1"/>
    <xf numFmtId="0" fontId="60" fillId="0" borderId="3" xfId="0" applyFont="1" applyBorder="1" applyAlignment="1">
      <alignment horizontal="left" indent="3"/>
    </xf>
    <xf numFmtId="0" fontId="61" fillId="0" borderId="3" xfId="0" applyFont="1" applyBorder="1" applyAlignment="1">
      <alignment horizontal="left" indent="4"/>
    </xf>
    <xf numFmtId="0" fontId="60" fillId="0" borderId="3" xfId="0" applyFont="1" applyBorder="1" applyAlignment="1">
      <alignment horizontal="left" indent="5"/>
    </xf>
    <xf numFmtId="164" fontId="60" fillId="0" borderId="0" xfId="1" applyNumberFormat="1" applyFont="1" applyAlignment="1">
      <alignment horizontal="right"/>
    </xf>
    <xf numFmtId="164" fontId="60" fillId="0" borderId="5" xfId="1" applyNumberFormat="1" applyFont="1" applyBorder="1" applyAlignment="1">
      <alignment horizontal="right"/>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54" fillId="0" borderId="0" xfId="1" applyNumberFormat="1" applyFont="1" applyAlignment="1">
      <alignment horizontal="right"/>
    </xf>
    <xf numFmtId="164" fontId="54" fillId="0" borderId="5" xfId="1" applyNumberFormat="1" applyFont="1" applyBorder="1" applyAlignment="1">
      <alignment horizontal="right"/>
    </xf>
    <xf numFmtId="164" fontId="62" fillId="9" borderId="0" xfId="1" applyNumberFormat="1" applyFont="1" applyFill="1" applyAlignment="1">
      <alignment horizontal="right"/>
    </xf>
    <xf numFmtId="165" fontId="55" fillId="0" borderId="5" xfId="1" quotePrefix="1" applyNumberFormat="1" applyFont="1" applyBorder="1" applyAlignment="1">
      <alignment horizontal="right"/>
    </xf>
    <xf numFmtId="165" fontId="4" fillId="0" borderId="27" xfId="1" quotePrefix="1" applyNumberFormat="1" applyFont="1" applyBorder="1" applyAlignment="1">
      <alignment horizontal="right"/>
    </xf>
    <xf numFmtId="9" fontId="66" fillId="0" borderId="0" xfId="2" applyFont="1" applyAlignment="1">
      <alignment horizontal="right"/>
    </xf>
    <xf numFmtId="9" fontId="66" fillId="0" borderId="5" xfId="2" applyFont="1" applyBorder="1" applyAlignment="1">
      <alignment horizontal="right"/>
    </xf>
    <xf numFmtId="9" fontId="61" fillId="0" borderId="5" xfId="2" applyFont="1" applyBorder="1" applyAlignment="1">
      <alignment horizontal="right"/>
    </xf>
    <xf numFmtId="164" fontId="55" fillId="0" borderId="5" xfId="1" quotePrefix="1" applyNumberFormat="1" applyFont="1" applyBorder="1" applyAlignment="1">
      <alignment horizontal="right"/>
    </xf>
    <xf numFmtId="9" fontId="61" fillId="9" borderId="0" xfId="2" applyFont="1" applyFill="1" applyAlignment="1">
      <alignment horizontal="right"/>
    </xf>
    <xf numFmtId="167" fontId="60" fillId="9" borderId="0" xfId="1" applyNumberFormat="1" applyFont="1" applyFill="1" applyAlignment="1">
      <alignment horizontal="right"/>
    </xf>
    <xf numFmtId="0" fontId="67" fillId="0" borderId="0" xfId="0" applyFont="1"/>
    <xf numFmtId="0" fontId="67" fillId="0" borderId="3" xfId="0" applyFont="1" applyBorder="1" applyAlignment="1">
      <alignment horizontal="left"/>
    </xf>
    <xf numFmtId="0" fontId="67" fillId="0" borderId="4" xfId="0" applyFont="1" applyBorder="1" applyAlignment="1">
      <alignment horizontal="left"/>
    </xf>
    <xf numFmtId="165" fontId="67" fillId="0" borderId="0" xfId="1" applyNumberFormat="1" applyFont="1" applyAlignment="1">
      <alignment horizontal="right"/>
    </xf>
    <xf numFmtId="165" fontId="67" fillId="9" borderId="0" xfId="1" applyNumberFormat="1" applyFont="1" applyFill="1" applyAlignment="1">
      <alignment horizontal="right"/>
    </xf>
    <xf numFmtId="165" fontId="67" fillId="0" borderId="5" xfId="1" quotePrefix="1" applyNumberFormat="1" applyFont="1" applyBorder="1" applyAlignment="1">
      <alignment horizontal="right"/>
    </xf>
    <xf numFmtId="167" fontId="67" fillId="9" borderId="0" xfId="1" applyNumberFormat="1" applyFont="1" applyFill="1" applyAlignment="1">
      <alignment horizontal="right"/>
    </xf>
    <xf numFmtId="0" fontId="67" fillId="0" borderId="3" xfId="0" applyFont="1" applyBorder="1" applyAlignment="1">
      <alignment horizontal="left" indent="2"/>
    </xf>
    <xf numFmtId="0" fontId="67" fillId="0" borderId="4" xfId="0" applyFont="1" applyBorder="1" applyAlignment="1">
      <alignment horizontal="left" indent="1"/>
    </xf>
    <xf numFmtId="164" fontId="67" fillId="0" borderId="0" xfId="1" applyNumberFormat="1" applyFont="1" applyAlignment="1">
      <alignment horizontal="right"/>
    </xf>
    <xf numFmtId="164" fontId="67" fillId="0" borderId="5" xfId="1" quotePrefix="1" applyNumberFormat="1" applyFont="1" applyBorder="1" applyAlignment="1">
      <alignment horizontal="right"/>
    </xf>
    <xf numFmtId="167" fontId="67" fillId="0" borderId="0" xfId="1" applyNumberFormat="1" applyFont="1" applyAlignment="1">
      <alignment horizontal="right"/>
    </xf>
    <xf numFmtId="165" fontId="61" fillId="0" borderId="29" xfId="1" applyNumberFormat="1" applyFont="1" applyBorder="1" applyAlignment="1">
      <alignment horizontal="right"/>
    </xf>
    <xf numFmtId="165" fontId="55" fillId="0" borderId="30" xfId="1" quotePrefix="1" applyNumberFormat="1" applyFont="1" applyBorder="1" applyAlignment="1">
      <alignment horizontal="right"/>
    </xf>
    <xf numFmtId="0" fontId="60" fillId="0" borderId="12" xfId="0" applyFont="1" applyBorder="1" applyAlignment="1">
      <alignment horizontal="left" indent="2"/>
    </xf>
    <xf numFmtId="0" fontId="60" fillId="0" borderId="13" xfId="0" applyFont="1" applyBorder="1" applyAlignment="1">
      <alignment horizontal="left" indent="1"/>
    </xf>
    <xf numFmtId="9" fontId="60" fillId="9" borderId="28" xfId="2" applyFont="1" applyFill="1" applyBorder="1" applyAlignment="1">
      <alignment horizontal="right"/>
    </xf>
    <xf numFmtId="164" fontId="61" fillId="0" borderId="28" xfId="1" applyNumberFormat="1" applyFont="1" applyBorder="1" applyAlignment="1">
      <alignment horizontal="right"/>
    </xf>
    <xf numFmtId="164" fontId="55" fillId="0" borderId="27" xfId="1" quotePrefix="1" applyNumberFormat="1" applyFont="1" applyBorder="1" applyAlignment="1">
      <alignment horizontal="right"/>
    </xf>
    <xf numFmtId="164" fontId="61" fillId="0" borderId="27" xfId="1" quotePrefix="1" applyNumberFormat="1" applyFont="1" applyBorder="1" applyAlignment="1">
      <alignment horizontal="right"/>
    </xf>
    <xf numFmtId="164" fontId="60" fillId="0" borderId="0" xfId="2" applyNumberFormat="1" applyFont="1" applyAlignment="1">
      <alignment horizontal="right"/>
    </xf>
    <xf numFmtId="164" fontId="62" fillId="0" borderId="0" xfId="2" applyNumberFormat="1" applyFont="1" applyAlignment="1">
      <alignment horizontal="right"/>
    </xf>
    <xf numFmtId="164" fontId="61" fillId="0" borderId="0" xfId="2" applyNumberFormat="1" applyFont="1" applyAlignment="1">
      <alignment horizontal="right"/>
    </xf>
    <xf numFmtId="166" fontId="61" fillId="0" borderId="0" xfId="2" applyNumberFormat="1" applyFont="1" applyAlignment="1">
      <alignment horizontal="right"/>
    </xf>
    <xf numFmtId="164" fontId="60" fillId="0" borderId="30" xfId="1" applyNumberFormat="1" applyFont="1" applyBorder="1" applyAlignment="1">
      <alignment horizontal="right"/>
    </xf>
    <xf numFmtId="164" fontId="62" fillId="0" borderId="5" xfId="2" applyNumberFormat="1" applyFont="1" applyBorder="1" applyAlignment="1">
      <alignment horizontal="right"/>
    </xf>
    <xf numFmtId="0" fontId="69" fillId="0" borderId="0" xfId="0" applyFont="1"/>
    <xf numFmtId="0" fontId="70" fillId="0" borderId="4" xfId="0" applyFont="1" applyBorder="1" applyAlignment="1">
      <alignment horizontal="left"/>
    </xf>
    <xf numFmtId="0" fontId="68" fillId="0" borderId="13" xfId="0" applyFont="1" applyBorder="1"/>
    <xf numFmtId="164" fontId="68" fillId="0" borderId="28" xfId="1" applyNumberFormat="1" applyFont="1" applyBorder="1" applyAlignment="1">
      <alignment horizontal="right"/>
    </xf>
    <xf numFmtId="164" fontId="68" fillId="0" borderId="27" xfId="1" applyNumberFormat="1" applyFont="1" applyBorder="1" applyAlignment="1">
      <alignment horizontal="right"/>
    </xf>
    <xf numFmtId="43" fontId="60" fillId="9" borderId="7" xfId="1" applyFont="1" applyFill="1" applyBorder="1" applyAlignment="1">
      <alignment horizontal="right"/>
    </xf>
    <xf numFmtId="9" fontId="64" fillId="0" borderId="0" xfId="2" applyFont="1" applyAlignment="1">
      <alignment horizontal="right"/>
    </xf>
    <xf numFmtId="0" fontId="68" fillId="0" borderId="24" xfId="0" applyFont="1" applyBorder="1" applyAlignment="1">
      <alignment horizontal="left"/>
    </xf>
    <xf numFmtId="0" fontId="68" fillId="0" borderId="12" xfId="0" applyFont="1" applyBorder="1" applyAlignment="1">
      <alignment horizontal="left" indent="2"/>
    </xf>
    <xf numFmtId="0" fontId="68" fillId="0" borderId="13" xfId="0" applyFont="1" applyBorder="1" applyAlignment="1">
      <alignment horizontal="left"/>
    </xf>
    <xf numFmtId="0" fontId="67" fillId="0" borderId="23" xfId="0" applyFont="1" applyBorder="1" applyAlignment="1">
      <alignment horizontal="left" indent="1"/>
    </xf>
    <xf numFmtId="0" fontId="67" fillId="0" borderId="24" xfId="0" applyFont="1" applyBorder="1"/>
    <xf numFmtId="164" fontId="71" fillId="0" borderId="29" xfId="1" applyNumberFormat="1" applyFont="1" applyBorder="1" applyAlignment="1">
      <alignment horizontal="right"/>
    </xf>
    <xf numFmtId="164" fontId="71" fillId="0" borderId="30" xfId="1" applyNumberFormat="1" applyFont="1" applyBorder="1" applyAlignment="1">
      <alignment horizontal="right"/>
    </xf>
    <xf numFmtId="164" fontId="72" fillId="0" borderId="29" xfId="1" applyNumberFormat="1" applyFont="1" applyBorder="1" applyAlignment="1">
      <alignment horizontal="right"/>
    </xf>
    <xf numFmtId="164" fontId="72" fillId="0" borderId="30" xfId="1" applyNumberFormat="1" applyFont="1" applyBorder="1" applyAlignment="1">
      <alignment horizontal="right"/>
    </xf>
    <xf numFmtId="0" fontId="68" fillId="0" borderId="33" xfId="0" applyFont="1" applyBorder="1" applyAlignment="1">
      <alignment horizontal="left" indent="2"/>
    </xf>
    <xf numFmtId="9" fontId="60" fillId="0" borderId="7" xfId="2" applyFont="1" applyBorder="1" applyAlignment="1">
      <alignment horizontal="right"/>
    </xf>
    <xf numFmtId="9" fontId="60" fillId="9" borderId="7" xfId="2" applyFont="1" applyFill="1" applyBorder="1" applyAlignment="1">
      <alignment horizontal="right"/>
    </xf>
    <xf numFmtId="164" fontId="60" fillId="9" borderId="0" xfId="1" applyNumberFormat="1" applyFont="1" applyFill="1" applyAlignment="1">
      <alignment horizontal="right"/>
    </xf>
    <xf numFmtId="164" fontId="60" fillId="0" borderId="29" xfId="1" applyNumberFormat="1" applyFont="1" applyBorder="1" applyAlignment="1">
      <alignment horizontal="right"/>
    </xf>
    <xf numFmtId="10" fontId="4" fillId="0" borderId="0" xfId="2" applyNumberFormat="1" applyFont="1" applyAlignment="1">
      <alignment horizontal="right"/>
    </xf>
    <xf numFmtId="164" fontId="61" fillId="0" borderId="5" xfId="1" quotePrefix="1" applyNumberFormat="1" applyFont="1" applyBorder="1" applyAlignment="1">
      <alignment horizontal="right"/>
    </xf>
    <xf numFmtId="166" fontId="61" fillId="0" borderId="5" xfId="2" quotePrefix="1" applyNumberFormat="1" applyFont="1" applyBorder="1" applyAlignment="1">
      <alignment horizontal="right"/>
    </xf>
    <xf numFmtId="0" fontId="73" fillId="0" borderId="31" xfId="0" applyFont="1" applyBorder="1" applyAlignment="1">
      <alignment vertical="top"/>
    </xf>
    <xf numFmtId="0" fontId="0" fillId="0" borderId="5" xfId="0" applyBorder="1" applyAlignment="1">
      <alignment horizontal="left" vertical="top" wrapText="1"/>
    </xf>
    <xf numFmtId="0" fontId="0" fillId="0" borderId="32" xfId="0" applyBorder="1" applyAlignment="1">
      <alignment horizontal="left" vertical="top" wrapText="1"/>
    </xf>
    <xf numFmtId="0" fontId="2" fillId="0" borderId="5" xfId="0" applyFont="1" applyBorder="1" applyAlignment="1">
      <alignment horizontal="left" vertical="top" wrapText="1"/>
    </xf>
    <xf numFmtId="0" fontId="0" fillId="0" borderId="30"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xf>
    <xf numFmtId="0" fontId="74" fillId="0" borderId="32" xfId="0" applyFont="1" applyBorder="1" applyAlignment="1">
      <alignment horizontal="left" vertical="top" wrapText="1"/>
    </xf>
    <xf numFmtId="0" fontId="74" fillId="0" borderId="30" xfId="0" applyFont="1" applyBorder="1" applyAlignment="1">
      <alignment horizontal="left" vertical="top" wrapText="1"/>
    </xf>
    <xf numFmtId="0" fontId="2" fillId="0" borderId="32" xfId="0" applyFont="1" applyBorder="1" applyAlignment="1">
      <alignment horizontal="left" vertical="top" wrapText="1"/>
    </xf>
    <xf numFmtId="0" fontId="0" fillId="0" borderId="27" xfId="0" applyBorder="1" applyAlignment="1">
      <alignment horizontal="left" vertical="top" wrapText="1"/>
    </xf>
    <xf numFmtId="0" fontId="76" fillId="0" borderId="0" xfId="0" applyFont="1"/>
    <xf numFmtId="0" fontId="4" fillId="0" borderId="0" xfId="0" applyFont="1" applyFill="1"/>
    <xf numFmtId="0" fontId="68" fillId="0" borderId="35" xfId="0" applyFont="1" applyBorder="1" applyAlignment="1">
      <alignment horizontal="left" indent="1"/>
    </xf>
    <xf numFmtId="165" fontId="60" fillId="0" borderId="0" xfId="1" applyNumberFormat="1" applyFont="1" applyFill="1" applyAlignment="1">
      <alignment horizontal="right"/>
    </xf>
    <xf numFmtId="43" fontId="60" fillId="0" borderId="0" xfId="1" applyNumberFormat="1" applyFont="1" applyFill="1" applyAlignment="1">
      <alignment horizontal="right"/>
    </xf>
    <xf numFmtId="164" fontId="61" fillId="0" borderId="0" xfId="1" applyNumberFormat="1" applyFont="1" applyFill="1" applyAlignment="1">
      <alignment horizontal="right"/>
    </xf>
    <xf numFmtId="164" fontId="62" fillId="0" borderId="0" xfId="1" applyNumberFormat="1" applyFont="1" applyFill="1" applyAlignment="1">
      <alignment horizontal="right"/>
    </xf>
    <xf numFmtId="164" fontId="60" fillId="0" borderId="0" xfId="1" applyNumberFormat="1" applyFont="1" applyFill="1" applyAlignment="1">
      <alignment horizontal="right"/>
    </xf>
    <xf numFmtId="164" fontId="54" fillId="0" borderId="0" xfId="1" applyNumberFormat="1" applyFont="1" applyFill="1" applyAlignment="1">
      <alignment horizontal="right"/>
    </xf>
    <xf numFmtId="164" fontId="71" fillId="0" borderId="29" xfId="1" applyNumberFormat="1" applyFont="1" applyFill="1" applyBorder="1" applyAlignment="1">
      <alignment horizontal="right"/>
    </xf>
    <xf numFmtId="164" fontId="68" fillId="0" borderId="28" xfId="1" applyNumberFormat="1" applyFont="1" applyFill="1" applyBorder="1" applyAlignment="1">
      <alignment horizontal="right"/>
    </xf>
    <xf numFmtId="164" fontId="72" fillId="0" borderId="29" xfId="1" applyNumberFormat="1" applyFont="1" applyFill="1" applyBorder="1" applyAlignment="1">
      <alignment horizontal="right"/>
    </xf>
    <xf numFmtId="43" fontId="61" fillId="0" borderId="0" xfId="1" applyFont="1" applyFill="1" applyAlignment="1">
      <alignment horizontal="right"/>
    </xf>
    <xf numFmtId="43" fontId="68" fillId="0" borderId="34" xfId="1" applyFont="1" applyFill="1" applyBorder="1" applyAlignment="1">
      <alignment horizontal="right"/>
    </xf>
    <xf numFmtId="43" fontId="60" fillId="0" borderId="7" xfId="1" applyFont="1" applyFill="1" applyBorder="1" applyAlignment="1">
      <alignment horizontal="right"/>
    </xf>
    <xf numFmtId="0" fontId="55" fillId="0" borderId="0" xfId="0" applyFont="1" applyFill="1"/>
    <xf numFmtId="165" fontId="62" fillId="0" borderId="0" xfId="1" applyNumberFormat="1" applyFont="1" applyFill="1" applyAlignment="1">
      <alignment horizontal="right"/>
    </xf>
    <xf numFmtId="7" fontId="60" fillId="0" borderId="0" xfId="1" applyNumberFormat="1" applyFont="1" applyFill="1" applyAlignment="1">
      <alignment horizontal="right"/>
    </xf>
    <xf numFmtId="0" fontId="67" fillId="0" borderId="0" xfId="0" applyFont="1" applyFill="1"/>
    <xf numFmtId="164" fontId="67" fillId="0" borderId="0" xfId="1" applyNumberFormat="1" applyFont="1" applyFill="1" applyAlignment="1">
      <alignment horizontal="right"/>
    </xf>
    <xf numFmtId="166" fontId="60" fillId="0" borderId="0" xfId="2" applyNumberFormat="1" applyFont="1" applyFill="1" applyAlignment="1">
      <alignment horizontal="right"/>
    </xf>
    <xf numFmtId="167" fontId="60" fillId="0" borderId="0" xfId="1" applyNumberFormat="1" applyFont="1" applyFill="1" applyAlignment="1">
      <alignment horizontal="right"/>
    </xf>
    <xf numFmtId="164" fontId="61" fillId="0" borderId="28" xfId="1" applyNumberFormat="1" applyFont="1" applyFill="1" applyBorder="1" applyAlignment="1">
      <alignment horizontal="right"/>
    </xf>
    <xf numFmtId="43" fontId="68" fillId="0" borderId="34" xfId="1" applyNumberFormat="1" applyFont="1" applyFill="1" applyBorder="1" applyAlignment="1">
      <alignment horizontal="right"/>
    </xf>
    <xf numFmtId="165" fontId="61" fillId="0" borderId="0" xfId="1" applyNumberFormat="1" applyFont="1" applyFill="1" applyAlignment="1">
      <alignment horizontal="right"/>
    </xf>
    <xf numFmtId="165" fontId="61" fillId="0" borderId="29" xfId="1" applyNumberFormat="1" applyFont="1" applyFill="1" applyBorder="1" applyAlignment="1">
      <alignment horizontal="right"/>
    </xf>
    <xf numFmtId="9" fontId="60" fillId="0" borderId="0" xfId="2" applyFont="1" applyFill="1" applyAlignment="1">
      <alignment horizontal="right"/>
    </xf>
    <xf numFmtId="167" fontId="67" fillId="0" borderId="0" xfId="1" applyNumberFormat="1" applyFont="1" applyFill="1" applyAlignment="1">
      <alignment horizontal="right"/>
    </xf>
    <xf numFmtId="164" fontId="60" fillId="0" borderId="0" xfId="2" applyNumberFormat="1" applyFont="1" applyFill="1" applyAlignment="1">
      <alignment horizontal="right"/>
    </xf>
    <xf numFmtId="164" fontId="62" fillId="0" borderId="0" xfId="2" applyNumberFormat="1" applyFont="1" applyFill="1" applyAlignment="1">
      <alignment horizontal="right"/>
    </xf>
    <xf numFmtId="9" fontId="60" fillId="0" borderId="28" xfId="2" applyFont="1" applyFill="1" applyBorder="1" applyAlignment="1">
      <alignment horizontal="right"/>
    </xf>
    <xf numFmtId="165" fontId="67" fillId="0" borderId="0" xfId="1" applyNumberFormat="1" applyFont="1" applyFill="1" applyAlignment="1">
      <alignment horizontal="right"/>
    </xf>
    <xf numFmtId="165" fontId="60" fillId="0" borderId="5" xfId="1" quotePrefix="1" applyNumberFormat="1" applyFont="1" applyFill="1" applyBorder="1" applyAlignment="1">
      <alignment horizontal="right"/>
    </xf>
    <xf numFmtId="10" fontId="64" fillId="0" borderId="0" xfId="2" applyNumberFormat="1" applyFont="1" applyAlignment="1">
      <alignment horizontal="right"/>
    </xf>
    <xf numFmtId="164" fontId="62" fillId="9" borderId="0" xfId="2" applyNumberFormat="1" applyFont="1" applyFill="1" applyAlignment="1">
      <alignment horizontal="right"/>
    </xf>
    <xf numFmtId="0" fontId="67" fillId="0" borderId="23" xfId="0" applyFont="1" applyBorder="1" applyAlignment="1">
      <alignment horizontal="left" indent="5"/>
    </xf>
    <xf numFmtId="0" fontId="68" fillId="0" borderId="12" xfId="0" applyFont="1" applyBorder="1" applyAlignment="1">
      <alignment horizontal="left" indent="6"/>
    </xf>
    <xf numFmtId="166" fontId="60" fillId="0" borderId="5" xfId="2" quotePrefix="1" applyNumberFormat="1" applyFont="1" applyFill="1" applyBorder="1" applyAlignment="1">
      <alignment horizontal="right"/>
    </xf>
    <xf numFmtId="0" fontId="60" fillId="0" borderId="0" xfId="0" applyFont="1" applyFill="1"/>
    <xf numFmtId="43" fontId="60" fillId="0" borderId="5" xfId="1" quotePrefix="1" applyFont="1" applyFill="1" applyBorder="1" applyAlignment="1">
      <alignment horizontal="right"/>
    </xf>
    <xf numFmtId="9" fontId="60" fillId="0" borderId="5" xfId="2" applyFont="1" applyFill="1" applyBorder="1" applyAlignment="1">
      <alignment horizontal="right"/>
    </xf>
    <xf numFmtId="43" fontId="64" fillId="0" borderId="0" xfId="1" applyFont="1" applyFill="1" applyAlignment="1">
      <alignment horizontal="right"/>
    </xf>
    <xf numFmtId="9" fontId="64" fillId="0" borderId="0" xfId="2" applyFont="1" applyFill="1" applyAlignment="1">
      <alignment horizontal="right"/>
    </xf>
    <xf numFmtId="9" fontId="4" fillId="0" borderId="0" xfId="2" applyFont="1" applyFill="1" applyAlignment="1">
      <alignment horizontal="right"/>
    </xf>
    <xf numFmtId="165" fontId="64" fillId="0" borderId="0" xfId="2" applyNumberFormat="1" applyFont="1" applyFill="1" applyAlignment="1">
      <alignment horizontal="right"/>
    </xf>
    <xf numFmtId="165" fontId="67" fillId="0" borderId="5" xfId="1" quotePrefix="1" applyNumberFormat="1" applyFont="1" applyFill="1" applyBorder="1" applyAlignment="1">
      <alignment horizontal="right"/>
    </xf>
    <xf numFmtId="164" fontId="60" fillId="0" borderId="30"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2" fillId="0" borderId="5" xfId="2" applyNumberFormat="1" applyFont="1" applyFill="1" applyBorder="1" applyAlignment="1">
      <alignment horizontal="right"/>
    </xf>
    <xf numFmtId="164" fontId="61" fillId="0" borderId="5" xfId="1" quotePrefix="1" applyNumberFormat="1" applyFont="1" applyFill="1" applyBorder="1" applyAlignment="1">
      <alignment horizontal="right"/>
    </xf>
    <xf numFmtId="166" fontId="61" fillId="0" borderId="5" xfId="2" quotePrefix="1" applyNumberFormat="1" applyFont="1" applyFill="1" applyBorder="1" applyAlignment="1">
      <alignment horizontal="right"/>
    </xf>
    <xf numFmtId="9" fontId="61" fillId="0" borderId="5" xfId="2" applyFont="1" applyFill="1" applyBorder="1" applyAlignment="1">
      <alignment horizontal="right"/>
    </xf>
    <xf numFmtId="0" fontId="4" fillId="0" borderId="4" xfId="0" applyFont="1" applyFill="1" applyBorder="1"/>
    <xf numFmtId="0" fontId="61" fillId="0" borderId="0" xfId="0" applyFont="1" applyFill="1"/>
    <xf numFmtId="0" fontId="61" fillId="0" borderId="3" xfId="0" applyFont="1" applyFill="1" applyBorder="1" applyAlignment="1">
      <alignment horizontal="left" indent="4"/>
    </xf>
    <xf numFmtId="0" fontId="61" fillId="0" borderId="4" xfId="0" applyFont="1" applyFill="1" applyBorder="1"/>
    <xf numFmtId="0" fontId="61" fillId="0" borderId="3" xfId="0" applyFont="1" applyFill="1" applyBorder="1" applyAlignment="1">
      <alignment horizontal="left" indent="5"/>
    </xf>
    <xf numFmtId="0" fontId="55" fillId="0" borderId="4" xfId="0" applyFont="1" applyFill="1" applyBorder="1"/>
    <xf numFmtId="0" fontId="69" fillId="0" borderId="0" xfId="0" applyFont="1" applyFill="1"/>
    <xf numFmtId="166" fontId="60" fillId="0" borderId="5" xfId="2" applyNumberFormat="1" applyFont="1" applyFill="1" applyBorder="1" applyAlignment="1">
      <alignment horizontal="right"/>
    </xf>
    <xf numFmtId="43" fontId="62" fillId="0" borderId="0" xfId="1" applyNumberFormat="1" applyFont="1" applyFill="1" applyAlignment="1">
      <alignment horizontal="right"/>
    </xf>
    <xf numFmtId="43" fontId="61" fillId="0" borderId="8" xfId="1" applyFont="1" applyFill="1" applyBorder="1" applyAlignment="1">
      <alignment horizontal="right"/>
    </xf>
    <xf numFmtId="166" fontId="64" fillId="0" borderId="0" xfId="2" applyNumberFormat="1" applyFont="1" applyFill="1" applyAlignment="1">
      <alignment horizontal="right"/>
    </xf>
    <xf numFmtId="164" fontId="60" fillId="0" borderId="0" xfId="1" applyNumberFormat="1" applyFont="1" applyBorder="1" applyAlignment="1">
      <alignment horizontal="right"/>
    </xf>
    <xf numFmtId="164" fontId="60" fillId="0" borderId="28" xfId="1" applyNumberFormat="1" applyFont="1" applyBorder="1" applyAlignment="1">
      <alignment horizontal="right"/>
    </xf>
    <xf numFmtId="164" fontId="60" fillId="0" borderId="27" xfId="1" applyNumberFormat="1" applyFont="1" applyBorder="1" applyAlignment="1">
      <alignment horizontal="right"/>
    </xf>
    <xf numFmtId="164" fontId="60" fillId="0" borderId="0" xfId="1" applyNumberFormat="1" applyFont="1" applyFill="1" applyBorder="1" applyAlignment="1">
      <alignment horizontal="right"/>
    </xf>
    <xf numFmtId="7" fontId="60" fillId="0" borderId="23" xfId="1" applyNumberFormat="1" applyFont="1" applyBorder="1" applyAlignment="1">
      <alignment horizontal="right"/>
    </xf>
    <xf numFmtId="7" fontId="60" fillId="0" borderId="29" xfId="1" applyNumberFormat="1" applyFont="1" applyFill="1" applyBorder="1" applyAlignment="1">
      <alignment horizontal="right"/>
    </xf>
    <xf numFmtId="165" fontId="60" fillId="0" borderId="3" xfId="1" applyNumberFormat="1" applyFont="1" applyBorder="1" applyAlignment="1">
      <alignment horizontal="right"/>
    </xf>
    <xf numFmtId="165" fontId="60" fillId="0" borderId="0" xfId="1" applyNumberFormat="1" applyFont="1" applyFill="1" applyBorder="1" applyAlignment="1">
      <alignment horizontal="right"/>
    </xf>
    <xf numFmtId="164" fontId="60" fillId="0" borderId="12" xfId="1" applyNumberFormat="1" applyFont="1" applyBorder="1" applyAlignment="1">
      <alignment horizontal="right"/>
    </xf>
    <xf numFmtId="167" fontId="67" fillId="0" borderId="5" xfId="1" quotePrefix="1" applyNumberFormat="1" applyFont="1" applyBorder="1" applyAlignment="1">
      <alignment horizontal="right"/>
    </xf>
    <xf numFmtId="167" fontId="67" fillId="0" borderId="5" xfId="1" quotePrefix="1" applyNumberFormat="1" applyFont="1" applyFill="1" applyBorder="1" applyAlignment="1">
      <alignment horizontal="right"/>
    </xf>
    <xf numFmtId="9" fontId="66" fillId="0" borderId="5" xfId="2" applyFont="1" applyFill="1" applyBorder="1" applyAlignment="1">
      <alignment horizontal="right"/>
    </xf>
    <xf numFmtId="226" fontId="61" fillId="0" borderId="5" xfId="2" applyNumberFormat="1" applyFont="1" applyFill="1" applyBorder="1" applyAlignment="1">
      <alignment horizontal="right"/>
    </xf>
    <xf numFmtId="9" fontId="4" fillId="0" borderId="0" xfId="2" applyFont="1" applyAlignment="1">
      <alignment horizontal="left"/>
    </xf>
    <xf numFmtId="166" fontId="61" fillId="9" borderId="0" xfId="2" applyNumberFormat="1" applyFont="1" applyFill="1" applyAlignment="1">
      <alignment horizontal="right"/>
    </xf>
    <xf numFmtId="0" fontId="60" fillId="0" borderId="6" xfId="0" applyFont="1" applyFill="1" applyBorder="1" applyAlignment="1">
      <alignment horizontal="left" indent="2"/>
    </xf>
    <xf numFmtId="0" fontId="60" fillId="0" borderId="10" xfId="0" applyFont="1" applyFill="1" applyBorder="1" applyAlignment="1">
      <alignment horizontal="left" indent="1"/>
    </xf>
    <xf numFmtId="166" fontId="4" fillId="0" borderId="0" xfId="1" applyNumberFormat="1" applyFont="1"/>
    <xf numFmtId="9" fontId="66" fillId="0" borderId="0" xfId="2" applyFont="1" applyFill="1" applyAlignment="1">
      <alignment horizontal="right"/>
    </xf>
    <xf numFmtId="9" fontId="61" fillId="0" borderId="0" xfId="2" applyFont="1" applyFill="1" applyAlignment="1">
      <alignment horizontal="right"/>
    </xf>
    <xf numFmtId="9" fontId="61" fillId="0" borderId="0" xfId="2" applyNumberFormat="1" applyFont="1" applyFill="1" applyAlignment="1">
      <alignment horizontal="right"/>
    </xf>
    <xf numFmtId="164" fontId="55" fillId="0" borderId="27" xfId="1" quotePrefix="1" applyNumberFormat="1" applyFont="1" applyFill="1" applyBorder="1" applyAlignment="1">
      <alignment horizontal="right"/>
    </xf>
    <xf numFmtId="165" fontId="55" fillId="0" borderId="5" xfId="1" quotePrefix="1" applyNumberFormat="1" applyFont="1" applyFill="1" applyBorder="1" applyAlignment="1">
      <alignment horizontal="right"/>
    </xf>
    <xf numFmtId="165" fontId="4" fillId="0" borderId="27" xfId="1" quotePrefix="1" applyNumberFormat="1" applyFont="1" applyFill="1" applyBorder="1" applyAlignment="1">
      <alignment horizontal="right"/>
    </xf>
    <xf numFmtId="164" fontId="61" fillId="0" borderId="0" xfId="2" applyNumberFormat="1" applyFont="1" applyFill="1" applyAlignment="1">
      <alignment horizontal="right"/>
    </xf>
    <xf numFmtId="166" fontId="61" fillId="0" borderId="0" xfId="2" applyNumberFormat="1" applyFont="1" applyFill="1" applyAlignment="1">
      <alignment horizontal="right"/>
    </xf>
    <xf numFmtId="225" fontId="4" fillId="0" borderId="5" xfId="1" quotePrefix="1" applyNumberFormat="1" applyFont="1" applyFill="1" applyBorder="1" applyAlignment="1">
      <alignment horizontal="right"/>
    </xf>
    <xf numFmtId="43" fontId="60" fillId="0" borderId="5" xfId="1" applyNumberFormat="1" applyFont="1" applyFill="1" applyBorder="1" applyAlignment="1">
      <alignment horizontal="right"/>
    </xf>
    <xf numFmtId="43" fontId="62" fillId="0" borderId="5" xfId="1" applyNumberFormat="1" applyFont="1" applyFill="1" applyBorder="1" applyAlignment="1">
      <alignment horizontal="right"/>
    </xf>
    <xf numFmtId="43" fontId="4" fillId="0" borderId="0" xfId="1" applyFont="1"/>
    <xf numFmtId="10" fontId="62" fillId="0" borderId="5" xfId="2" applyNumberFormat="1" applyFont="1" applyBorder="1" applyAlignment="1">
      <alignment horizontal="right"/>
    </xf>
    <xf numFmtId="10" fontId="60" fillId="0" borderId="5" xfId="2" applyNumberFormat="1" applyFont="1" applyBorder="1" applyAlignment="1">
      <alignment horizontal="right"/>
    </xf>
    <xf numFmtId="10" fontId="4" fillId="0" borderId="5" xfId="2" quotePrefix="1" applyNumberFormat="1" applyFont="1" applyBorder="1" applyAlignment="1">
      <alignment horizontal="right"/>
    </xf>
    <xf numFmtId="0" fontId="60" fillId="0" borderId="0" xfId="0" applyFont="1" applyAlignment="1">
      <alignment horizontal="right"/>
    </xf>
    <xf numFmtId="0" fontId="60" fillId="0" borderId="6" xfId="0" applyFont="1" applyBorder="1" applyAlignment="1">
      <alignment horizontal="left"/>
    </xf>
    <xf numFmtId="0" fontId="60" fillId="0" borderId="10" xfId="0" applyFont="1" applyBorder="1" applyAlignment="1">
      <alignment horizontal="left"/>
    </xf>
    <xf numFmtId="0" fontId="61" fillId="0" borderId="4" xfId="0" applyFont="1" applyBorder="1" applyAlignment="1">
      <alignment horizontal="left"/>
    </xf>
    <xf numFmtId="0" fontId="61" fillId="0" borderId="3" xfId="0" applyFont="1" applyBorder="1" applyAlignment="1">
      <alignment horizontal="left" indent="2"/>
    </xf>
    <xf numFmtId="165" fontId="61" fillId="0" borderId="5" xfId="1" quotePrefix="1" applyNumberFormat="1" applyFont="1" applyFill="1" applyBorder="1" applyAlignment="1">
      <alignment horizontal="right"/>
    </xf>
    <xf numFmtId="166" fontId="78" fillId="0" borderId="0" xfId="2" applyNumberFormat="1" applyFont="1" applyFill="1" applyAlignment="1">
      <alignment horizontal="right"/>
    </xf>
    <xf numFmtId="166" fontId="60" fillId="0" borderId="27" xfId="2" quotePrefix="1" applyNumberFormat="1" applyFont="1" applyFill="1" applyBorder="1" applyAlignment="1">
      <alignment horizontal="right"/>
    </xf>
    <xf numFmtId="165" fontId="60" fillId="0" borderId="5" xfId="1" applyNumberFormat="1" applyFont="1" applyFill="1" applyBorder="1" applyAlignment="1">
      <alignment horizontal="right"/>
    </xf>
    <xf numFmtId="164" fontId="60" fillId="0" borderId="5" xfId="1" applyNumberFormat="1" applyFont="1" applyFill="1" applyBorder="1" applyAlignment="1">
      <alignment horizontal="right"/>
    </xf>
    <xf numFmtId="164" fontId="61" fillId="0" borderId="5" xfId="1" applyNumberFormat="1" applyFont="1" applyFill="1" applyBorder="1" applyAlignment="1">
      <alignment horizontal="right"/>
    </xf>
    <xf numFmtId="43" fontId="68" fillId="0" borderId="32" xfId="1" applyFont="1" applyFill="1" applyBorder="1" applyAlignment="1">
      <alignment horizontal="right"/>
    </xf>
    <xf numFmtId="164" fontId="62" fillId="0" borderId="5" xfId="1" applyNumberFormat="1" applyFont="1" applyFill="1" applyBorder="1" applyAlignment="1">
      <alignment horizontal="right"/>
    </xf>
    <xf numFmtId="43" fontId="61" fillId="0" borderId="5" xfId="1" applyFont="1" applyFill="1" applyBorder="1" applyAlignment="1">
      <alignment horizontal="right"/>
    </xf>
    <xf numFmtId="164" fontId="54" fillId="0" borderId="5" xfId="1" applyNumberFormat="1" applyFont="1" applyFill="1" applyBorder="1" applyAlignment="1">
      <alignment horizontal="right"/>
    </xf>
    <xf numFmtId="164" fontId="71" fillId="0" borderId="30" xfId="1" applyNumberFormat="1" applyFont="1" applyFill="1" applyBorder="1" applyAlignment="1">
      <alignment horizontal="right"/>
    </xf>
    <xf numFmtId="164" fontId="68" fillId="0" borderId="27" xfId="1" applyNumberFormat="1" applyFont="1" applyFill="1" applyBorder="1" applyAlignment="1">
      <alignment horizontal="right"/>
    </xf>
    <xf numFmtId="164" fontId="72" fillId="0" borderId="30" xfId="1" applyNumberFormat="1" applyFont="1" applyFill="1" applyBorder="1" applyAlignment="1">
      <alignment horizontal="right"/>
    </xf>
    <xf numFmtId="9" fontId="60" fillId="0" borderId="0" xfId="2" applyFont="1" applyBorder="1" applyAlignment="1">
      <alignment horizontal="right"/>
    </xf>
    <xf numFmtId="0" fontId="60" fillId="0" borderId="3" xfId="0" applyFont="1" applyFill="1" applyBorder="1" applyAlignment="1">
      <alignment horizontal="left" indent="1"/>
    </xf>
    <xf numFmtId="0" fontId="4" fillId="0" borderId="0" xfId="0" quotePrefix="1" applyFont="1"/>
    <xf numFmtId="0" fontId="78" fillId="0" borderId="3" xfId="0" applyFont="1" applyBorder="1" applyAlignment="1">
      <alignment horizontal="left" indent="2"/>
    </xf>
    <xf numFmtId="0" fontId="78" fillId="0" borderId="4" xfId="0" applyFont="1" applyBorder="1" applyAlignment="1">
      <alignment horizontal="left" indent="2"/>
    </xf>
    <xf numFmtId="0" fontId="79" fillId="0" borderId="0" xfId="0" applyFont="1" applyAlignment="1">
      <alignment horizontal="left" indent="1"/>
    </xf>
    <xf numFmtId="0" fontId="79" fillId="0" borderId="0" xfId="0" applyFont="1" applyFill="1" applyAlignment="1">
      <alignment horizontal="left"/>
    </xf>
    <xf numFmtId="0" fontId="79" fillId="0" borderId="0" xfId="0" applyFont="1" applyFill="1"/>
    <xf numFmtId="0" fontId="78" fillId="0" borderId="4" xfId="0" applyFont="1" applyBorder="1" applyAlignment="1">
      <alignment horizontal="left" indent="1"/>
    </xf>
    <xf numFmtId="0" fontId="79" fillId="0" borderId="0" xfId="0" applyFont="1"/>
    <xf numFmtId="166" fontId="78" fillId="0" borderId="5" xfId="2" applyNumberFormat="1" applyFont="1" applyFill="1" applyBorder="1" applyAlignment="1">
      <alignment horizontal="right"/>
    </xf>
    <xf numFmtId="166" fontId="78" fillId="0" borderId="0" xfId="2" applyNumberFormat="1" applyFont="1" applyAlignment="1">
      <alignment horizontal="right"/>
    </xf>
    <xf numFmtId="166" fontId="78" fillId="0" borderId="5" xfId="2" applyNumberFormat="1" applyFont="1" applyBorder="1" applyAlignment="1">
      <alignment horizontal="right"/>
    </xf>
    <xf numFmtId="166" fontId="78" fillId="9" borderId="0" xfId="2" applyNumberFormat="1" applyFont="1" applyFill="1" applyAlignment="1">
      <alignment horizontal="right"/>
    </xf>
    <xf numFmtId="0" fontId="79" fillId="0" borderId="4" xfId="0" applyFont="1" applyBorder="1"/>
    <xf numFmtId="165" fontId="61" fillId="0" borderId="5" xfId="1" quotePrefix="1" applyNumberFormat="1" applyFont="1" applyBorder="1" applyAlignment="1">
      <alignment horizontal="right"/>
    </xf>
    <xf numFmtId="165" fontId="61" fillId="0" borderId="30" xfId="1" quotePrefix="1" applyNumberFormat="1" applyFont="1" applyBorder="1" applyAlignment="1">
      <alignment horizontal="right"/>
    </xf>
    <xf numFmtId="164" fontId="62" fillId="0" borderId="5" xfId="1" quotePrefix="1" applyNumberFormat="1" applyFont="1" applyBorder="1" applyAlignment="1">
      <alignment horizontal="right"/>
    </xf>
    <xf numFmtId="164" fontId="61" fillId="0" borderId="5" xfId="2" applyNumberFormat="1" applyFont="1" applyBorder="1" applyAlignment="1">
      <alignment horizontal="right"/>
    </xf>
    <xf numFmtId="9" fontId="66" fillId="0" borderId="0" xfId="2" applyFont="1" applyFill="1" applyAlignment="1">
      <alignment horizontal="left"/>
    </xf>
    <xf numFmtId="43" fontId="4" fillId="0" borderId="0" xfId="1" applyFont="1" applyFill="1"/>
    <xf numFmtId="164" fontId="60" fillId="9" borderId="0" xfId="2" applyNumberFormat="1" applyFont="1" applyFill="1" applyAlignment="1">
      <alignment horizontal="right"/>
    </xf>
    <xf numFmtId="0" fontId="60" fillId="0" borderId="3" xfId="0" applyFont="1" applyBorder="1" applyAlignment="1">
      <alignment horizontal="left"/>
    </xf>
    <xf numFmtId="0" fontId="60" fillId="0" borderId="4" xfId="0" applyFont="1" applyBorder="1" applyAlignment="1">
      <alignment horizontal="left"/>
    </xf>
    <xf numFmtId="0" fontId="60" fillId="0" borderId="3" xfId="0" applyFont="1" applyBorder="1" applyAlignment="1">
      <alignment horizontal="left" indent="1"/>
    </xf>
    <xf numFmtId="0" fontId="60" fillId="0" borderId="4" xfId="0" applyFont="1" applyBorder="1" applyAlignment="1">
      <alignment horizontal="left" indent="1"/>
    </xf>
    <xf numFmtId="0" fontId="61" fillId="0" borderId="3" xfId="0" applyFont="1" applyBorder="1" applyAlignment="1">
      <alignment horizontal="left" indent="1"/>
    </xf>
    <xf numFmtId="0" fontId="61" fillId="0" borderId="4" xfId="0" applyFont="1" applyBorder="1" applyAlignment="1">
      <alignment horizontal="left" indent="1"/>
    </xf>
    <xf numFmtId="0" fontId="61" fillId="0" borderId="3" xfId="0" applyFont="1" applyBorder="1" applyAlignment="1">
      <alignment horizontal="left" indent="3"/>
    </xf>
    <xf numFmtId="0" fontId="60" fillId="0" borderId="3" xfId="0" applyFont="1" applyBorder="1" applyAlignment="1">
      <alignment horizontal="left" indent="4"/>
    </xf>
    <xf numFmtId="0" fontId="60" fillId="0" borderId="4" xfId="0" applyFont="1" applyFill="1" applyBorder="1" applyAlignment="1">
      <alignment horizontal="left"/>
    </xf>
    <xf numFmtId="0" fontId="60" fillId="0" borderId="3" xfId="0" applyFont="1" applyFill="1" applyBorder="1" applyAlignment="1">
      <alignment horizontal="left" indent="2"/>
    </xf>
    <xf numFmtId="0" fontId="59" fillId="0" borderId="4" xfId="0" applyFont="1" applyBorder="1" applyAlignment="1">
      <alignment horizontal="center" wrapText="1"/>
    </xf>
    <xf numFmtId="0" fontId="58" fillId="2" borderId="1" xfId="0" applyFont="1" applyFill="1" applyBorder="1" applyAlignment="1">
      <alignment horizontal="left"/>
    </xf>
    <xf numFmtId="0" fontId="58" fillId="2" borderId="11" xfId="0" applyFont="1" applyFill="1" applyBorder="1" applyAlignment="1">
      <alignment horizontal="left"/>
    </xf>
    <xf numFmtId="0" fontId="59" fillId="2" borderId="3" xfId="0" applyFont="1" applyFill="1" applyBorder="1" applyAlignment="1">
      <alignment horizontal="left"/>
    </xf>
    <xf numFmtId="0" fontId="59" fillId="2" borderId="4" xfId="0" applyFont="1" applyFill="1" applyBorder="1" applyAlignment="1">
      <alignment horizontal="left"/>
    </xf>
    <xf numFmtId="0" fontId="60" fillId="0" borderId="3" xfId="0" applyFont="1" applyFill="1" applyBorder="1" applyAlignment="1">
      <alignment horizontal="left"/>
    </xf>
    <xf numFmtId="0" fontId="60" fillId="0" borderId="4" xfId="0" applyFont="1" applyFill="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0" fillId="0" borderId="25" xfId="0" applyFont="1" applyBorder="1" applyAlignment="1">
      <alignment horizontal="left" vertical="top" wrapText="1"/>
    </xf>
    <xf numFmtId="0" fontId="60" fillId="0" borderId="26" xfId="0" applyFont="1" applyBorder="1" applyAlignment="1">
      <alignment horizontal="left" vertical="top" wrapText="1"/>
    </xf>
    <xf numFmtId="0" fontId="60" fillId="9" borderId="1" xfId="0" applyFont="1" applyFill="1" applyBorder="1" applyAlignment="1">
      <alignment horizontal="left"/>
    </xf>
    <xf numFmtId="0" fontId="60" fillId="9" borderId="11" xfId="0" applyFont="1" applyFill="1" applyBorder="1" applyAlignment="1">
      <alignment horizontal="left"/>
    </xf>
    <xf numFmtId="0" fontId="60" fillId="10" borderId="3" xfId="0" applyFont="1" applyFill="1" applyBorder="1" applyAlignment="1">
      <alignment horizontal="left"/>
    </xf>
    <xf numFmtId="0" fontId="60" fillId="10" borderId="4" xfId="0" applyFont="1" applyFill="1" applyBorder="1" applyAlignment="1">
      <alignment horizontal="left"/>
    </xf>
    <xf numFmtId="0" fontId="60" fillId="11" borderId="6" xfId="0" applyFont="1" applyFill="1" applyBorder="1" applyAlignment="1">
      <alignment horizontal="left"/>
    </xf>
    <xf numFmtId="0" fontId="60" fillId="11" borderId="10" xfId="0" applyFont="1" applyFill="1" applyBorder="1" applyAlignment="1">
      <alignment horizontal="left"/>
    </xf>
    <xf numFmtId="0" fontId="58" fillId="2" borderId="3" xfId="0" applyFont="1" applyFill="1" applyBorder="1" applyAlignment="1">
      <alignment horizontal="left"/>
    </xf>
    <xf numFmtId="0" fontId="58" fillId="2" borderId="4" xfId="0" applyFont="1" applyFill="1" applyBorder="1" applyAlignment="1">
      <alignment horizontal="left"/>
    </xf>
    <xf numFmtId="0" fontId="61" fillId="0" borderId="3" xfId="0" applyFont="1" applyFill="1" applyBorder="1" applyAlignment="1">
      <alignment horizontal="left" indent="1"/>
    </xf>
    <xf numFmtId="0" fontId="61" fillId="0" borderId="4" xfId="0" applyFont="1" applyFill="1" applyBorder="1" applyAlignment="1">
      <alignment horizontal="left" indent="1"/>
    </xf>
    <xf numFmtId="0" fontId="60" fillId="0" borderId="3" xfId="0" applyFont="1" applyFill="1" applyBorder="1" applyAlignment="1">
      <alignment horizontal="left" indent="2"/>
    </xf>
    <xf numFmtId="0" fontId="60" fillId="0" borderId="4" xfId="0" applyFont="1" applyFill="1" applyBorder="1" applyAlignment="1">
      <alignment horizontal="left" indent="2"/>
    </xf>
    <xf numFmtId="0" fontId="60" fillId="0" borderId="3" xfId="0" applyFont="1" applyFill="1" applyBorder="1" applyAlignment="1">
      <alignment horizontal="left" indent="5"/>
    </xf>
    <xf numFmtId="0" fontId="60" fillId="0" borderId="4" xfId="0" applyFont="1" applyFill="1" applyBorder="1" applyAlignment="1">
      <alignment horizontal="left" indent="5"/>
    </xf>
    <xf numFmtId="0" fontId="61" fillId="0" borderId="3" xfId="0" applyFont="1" applyBorder="1" applyAlignment="1">
      <alignment horizontal="left" indent="3"/>
    </xf>
    <xf numFmtId="0" fontId="61" fillId="0" borderId="4" xfId="0" applyFont="1" applyBorder="1" applyAlignment="1">
      <alignment horizontal="left" indent="3"/>
    </xf>
    <xf numFmtId="0" fontId="60" fillId="0" borderId="3" xfId="0" applyFont="1" applyBorder="1" applyAlignment="1">
      <alignment horizontal="left" indent="4"/>
    </xf>
    <xf numFmtId="0" fontId="60" fillId="0" borderId="4" xfId="0" applyFont="1" applyBorder="1" applyAlignment="1">
      <alignment horizontal="left" indent="4"/>
    </xf>
    <xf numFmtId="0" fontId="60" fillId="0" borderId="3" xfId="0" applyFont="1" applyBorder="1" applyAlignment="1">
      <alignment horizontal="left"/>
    </xf>
    <xf numFmtId="0" fontId="60" fillId="0" borderId="4" xfId="0" applyFont="1" applyBorder="1" applyAlignment="1">
      <alignment horizontal="left"/>
    </xf>
    <xf numFmtId="0" fontId="63" fillId="0" borderId="23" xfId="0" applyFont="1" applyBorder="1" applyAlignment="1">
      <alignment horizontal="left"/>
    </xf>
    <xf numFmtId="0" fontId="63" fillId="0" borderId="24" xfId="0" applyFont="1" applyBorder="1" applyAlignment="1">
      <alignment horizontal="left"/>
    </xf>
    <xf numFmtId="0" fontId="61" fillId="0" borderId="12" xfId="0" applyFont="1" applyBorder="1" applyAlignment="1">
      <alignment horizontal="left" indent="2"/>
    </xf>
    <xf numFmtId="0" fontId="61" fillId="0" borderId="13" xfId="0" applyFont="1" applyBorder="1" applyAlignment="1">
      <alignment horizontal="left" indent="2"/>
    </xf>
    <xf numFmtId="0" fontId="61" fillId="0" borderId="12" xfId="0" applyFont="1" applyBorder="1" applyAlignment="1">
      <alignment horizontal="left"/>
    </xf>
    <xf numFmtId="0" fontId="61" fillId="0" borderId="13" xfId="0" applyFont="1" applyBorder="1" applyAlignment="1">
      <alignment horizontal="left"/>
    </xf>
    <xf numFmtId="0" fontId="60" fillId="0" borderId="3" xfId="0" applyFont="1" applyBorder="1" applyAlignment="1">
      <alignment horizontal="left" indent="1"/>
    </xf>
    <xf numFmtId="0" fontId="60" fillId="0" borderId="4" xfId="0" applyFont="1" applyBorder="1" applyAlignment="1">
      <alignment horizontal="left" indent="1"/>
    </xf>
    <xf numFmtId="0" fontId="63" fillId="0" borderId="23" xfId="0" applyFont="1" applyFill="1" applyBorder="1" applyAlignment="1">
      <alignment horizontal="left"/>
    </xf>
    <xf numFmtId="0" fontId="63" fillId="0" borderId="24" xfId="0" applyFont="1" applyFill="1" applyBorder="1" applyAlignment="1">
      <alignment horizontal="left"/>
    </xf>
    <xf numFmtId="0" fontId="0" fillId="0" borderId="23" xfId="0" applyBorder="1" applyAlignment="1">
      <alignment horizontal="left"/>
    </xf>
    <xf numFmtId="0" fontId="1" fillId="0" borderId="24" xfId="0" applyFont="1" applyBorder="1" applyAlignment="1">
      <alignment horizontal="left"/>
    </xf>
    <xf numFmtId="0" fontId="0" fillId="0" borderId="3" xfId="0" applyBorder="1" applyAlignment="1">
      <alignment horizontal="left"/>
    </xf>
    <xf numFmtId="0" fontId="1" fillId="0" borderId="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2" fillId="0" borderId="0" xfId="0" applyFont="1" applyAlignment="1">
      <alignment horizontal="center" vertical="top" wrapText="1"/>
    </xf>
    <xf numFmtId="164" fontId="60" fillId="0" borderId="5" xfId="1" quotePrefix="1" applyNumberFormat="1" applyFont="1" applyFill="1" applyBorder="1" applyAlignment="1">
      <alignment horizontal="right"/>
    </xf>
  </cellXfs>
  <cellStyles count="337">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 2" xfId="334" xr:uid="{E830FEE5-BF3D-4B9F-89C3-BE51D3EB55EA}"/>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ps 2" xfId="333" xr:uid="{E6BF08FD-99B4-4E49-8935-B8E309BE0144}"/>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5" xfId="332" xr:uid="{C5860A2B-F2DD-4D6C-8B91-584D6ED375E4}"/>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3 2" xfId="335" xr:uid="{F1440C57-A6D8-4BD0-B522-EFC58E8B070F}"/>
    <cellStyle name="Style 4" xfId="311" xr:uid="{00000000-0005-0000-0000-000038010000}"/>
    <cellStyle name="Style 4 2" xfId="336" xr:uid="{F8DD9E7D-3CD1-4B00-B4A6-2016D636B95A}"/>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[1]MU!#REF!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[1]MU!#REF!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[1]MU!#REF!</c15:sqref>
                        </c15:formulaRef>
                      </c:ext>
                    </c:extLst>
                    <c:strCache>
                      <c:ptCount val="1"/>
                      <c:pt idx="0">
                        <c:v>#REF!</c:v>
                      </c:pt>
                    </c:strCache>
                  </c:strRef>
                </c15:cat>
              </c15:filteredCategoryTitle>
            </c:ext>
            <c:ext xmlns:c16="http://schemas.microsoft.com/office/drawing/2014/chart" uri="{C3380CC4-5D6E-409C-BE32-E72D297353CC}">
              <c16:uniqueId val="{00000000-1254-41BC-98EB-9CB3A85F17C9}"/>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General"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val>
            <c:numRef>
              <c:f>(Charts!#REF!,Charts!#REF!,Charts!#REF!,Charts!#REF!,Charts!#REF!,Charts!#REF!,Charts!#REF!,Charts!#REF!)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Charts!#REF!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(Charts!#REF!,Charts!#REF!,Charts!#REF!,Charts!#REF!,Charts!#REF!,Charts!#REF!,Charts!#REF!,Charts!#REF!)</c15:sqref>
                        </c15:formulaRef>
                      </c:ext>
                    </c:extLst>
                    <c:strCache>
                      <c:ptCount val="1"/>
                      <c:pt idx="0">
                        <c:v>#REF!</c:v>
                      </c:pt>
                    </c:strCache>
                  </c:strRef>
                </c15:cat>
              </c15:filteredCategoryTitle>
            </c:ex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val>
            <c:numRef>
              <c:f>(Charts!#REF!,Charts!#REF!,Charts!#REF!,Charts!#REF!,Charts!#REF!,Charts!#REF!,Charts!#REF!,Charts!#REF!)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Charts!#REF!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(Charts!#REF!,Charts!#REF!,Charts!#REF!,Charts!#REF!,Charts!#REF!,Charts!#REF!,Charts!#REF!,Charts!#REF!)</c15:sqref>
                        </c15:formulaRef>
                      </c:ext>
                    </c:extLst>
                    <c:strCache>
                      <c:ptCount val="1"/>
                      <c:pt idx="0">
                        <c:v>#REF!</c:v>
                      </c:pt>
                    </c:strCache>
                  </c:strRef>
                </c15:cat>
              </c15:filteredCategoryTitle>
            </c:ex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openxmlformats.org/officeDocument/2006/relationships/image" Target="../media/image5.tmp"/><Relationship Id="rId4" Type="http://schemas.openxmlformats.org/officeDocument/2006/relationships/image" Target="../media/image4.tmp"/></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1</xdr:col>
      <xdr:colOff>236802</xdr:colOff>
      <xdr:row>41</xdr:row>
      <xdr:rowOff>0</xdr:rowOff>
    </xdr:from>
    <xdr:to>
      <xdr:col>3</xdr:col>
      <xdr:colOff>0</xdr:colOff>
      <xdr:row>41</xdr:row>
      <xdr:rowOff>0</xdr:rowOff>
    </xdr:to>
    <xdr:graphicFrame macro="">
      <xdr:nvGraphicFramePr>
        <xdr:cNvPr id="5" name="Chart 4">
          <a:extLst>
            <a:ext uri="{FF2B5EF4-FFF2-40B4-BE49-F238E27FC236}">
              <a16:creationId xmlns:a16="http://schemas.microsoft.com/office/drawing/2014/main" id="{BF558CD5-9490-48CF-97EC-204510B7A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208551</xdr:colOff>
      <xdr:row>7</xdr:row>
      <xdr:rowOff>57150</xdr:rowOff>
    </xdr:from>
    <xdr:to>
      <xdr:col>17</xdr:col>
      <xdr:colOff>362120</xdr:colOff>
      <xdr:row>31</xdr:row>
      <xdr:rowOff>38100</xdr:rowOff>
    </xdr:to>
    <xdr:pic>
      <xdr:nvPicPr>
        <xdr:cNvPr id="2" name="Picture 1">
          <a:extLst>
            <a:ext uri="{FF2B5EF4-FFF2-40B4-BE49-F238E27FC236}">
              <a16:creationId xmlns:a16="http://schemas.microsoft.com/office/drawing/2014/main" id="{F7CADE78-960B-4DAF-BB71-DEEB8FD7A0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551" y="1390650"/>
          <a:ext cx="10516769" cy="4552950"/>
        </a:xfrm>
        <a:prstGeom prst="rect">
          <a:avLst/>
        </a:prstGeom>
      </xdr:spPr>
    </xdr:pic>
    <xdr:clientData/>
  </xdr:twoCellAnchor>
  <xdr:twoCellAnchor editAs="oneCell">
    <xdr:from>
      <xdr:col>0</xdr:col>
      <xdr:colOff>76200</xdr:colOff>
      <xdr:row>31</xdr:row>
      <xdr:rowOff>15821</xdr:rowOff>
    </xdr:from>
    <xdr:to>
      <xdr:col>17</xdr:col>
      <xdr:colOff>259330</xdr:colOff>
      <xdr:row>42</xdr:row>
      <xdr:rowOff>123825</xdr:rowOff>
    </xdr:to>
    <xdr:pic>
      <xdr:nvPicPr>
        <xdr:cNvPr id="3" name="Picture 2">
          <a:extLst>
            <a:ext uri="{FF2B5EF4-FFF2-40B4-BE49-F238E27FC236}">
              <a16:creationId xmlns:a16="http://schemas.microsoft.com/office/drawing/2014/main" id="{81FDD595-FA99-485B-BD80-53F44B2EEB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5921321"/>
          <a:ext cx="10546330" cy="2203504"/>
        </a:xfrm>
        <a:prstGeom prst="rect">
          <a:avLst/>
        </a:prstGeom>
      </xdr:spPr>
    </xdr:pic>
    <xdr:clientData/>
  </xdr:twoCellAnchor>
  <xdr:twoCellAnchor editAs="oneCell">
    <xdr:from>
      <xdr:col>17</xdr:col>
      <xdr:colOff>544098</xdr:colOff>
      <xdr:row>4</xdr:row>
      <xdr:rowOff>19050</xdr:rowOff>
    </xdr:from>
    <xdr:to>
      <xdr:col>36</xdr:col>
      <xdr:colOff>314325</xdr:colOff>
      <xdr:row>29</xdr:row>
      <xdr:rowOff>15892</xdr:rowOff>
    </xdr:to>
    <xdr:pic>
      <xdr:nvPicPr>
        <xdr:cNvPr id="4" name="Picture 3">
          <a:extLst>
            <a:ext uri="{FF2B5EF4-FFF2-40B4-BE49-F238E27FC236}">
              <a16:creationId xmlns:a16="http://schemas.microsoft.com/office/drawing/2014/main" id="{5FFAC0E3-BEDB-4638-8797-B0C2771166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907298" y="781050"/>
          <a:ext cx="11352627" cy="4759342"/>
        </a:xfrm>
        <a:prstGeom prst="rect">
          <a:avLst/>
        </a:prstGeom>
      </xdr:spPr>
    </xdr:pic>
    <xdr:clientData/>
  </xdr:twoCellAnchor>
  <xdr:twoCellAnchor editAs="oneCell">
    <xdr:from>
      <xdr:col>17</xdr:col>
      <xdr:colOff>571499</xdr:colOff>
      <xdr:row>28</xdr:row>
      <xdr:rowOff>119881</xdr:rowOff>
    </xdr:from>
    <xdr:to>
      <xdr:col>38</xdr:col>
      <xdr:colOff>4654</xdr:colOff>
      <xdr:row>32</xdr:row>
      <xdr:rowOff>66675</xdr:rowOff>
    </xdr:to>
    <xdr:pic>
      <xdr:nvPicPr>
        <xdr:cNvPr id="5" name="Picture 4">
          <a:extLst>
            <a:ext uri="{FF2B5EF4-FFF2-40B4-BE49-F238E27FC236}">
              <a16:creationId xmlns:a16="http://schemas.microsoft.com/office/drawing/2014/main" id="{855CC9EF-4246-453E-BD3B-2E2968034E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34699" y="5453881"/>
          <a:ext cx="12234755" cy="708794"/>
        </a:xfrm>
        <a:prstGeom prst="rect">
          <a:avLst/>
        </a:prstGeom>
      </xdr:spPr>
    </xdr:pic>
    <xdr:clientData/>
  </xdr:twoCellAnchor>
  <xdr:twoCellAnchor editAs="oneCell">
    <xdr:from>
      <xdr:col>18</xdr:col>
      <xdr:colOff>0</xdr:colOff>
      <xdr:row>32</xdr:row>
      <xdr:rowOff>45318</xdr:rowOff>
    </xdr:from>
    <xdr:to>
      <xdr:col>36</xdr:col>
      <xdr:colOff>583023</xdr:colOff>
      <xdr:row>48</xdr:row>
      <xdr:rowOff>95786</xdr:rowOff>
    </xdr:to>
    <xdr:pic>
      <xdr:nvPicPr>
        <xdr:cNvPr id="6" name="Picture 5">
          <a:extLst>
            <a:ext uri="{FF2B5EF4-FFF2-40B4-BE49-F238E27FC236}">
              <a16:creationId xmlns:a16="http://schemas.microsoft.com/office/drawing/2014/main" id="{160018C3-BA0D-48F6-92D3-6DA9FD934EB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972800" y="6141318"/>
          <a:ext cx="11555823" cy="30984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E9427-692F-478D-9680-5C669F95B8B1}">
  <dimension ref="B2:B21"/>
  <sheetViews>
    <sheetView showGridLines="0" topLeftCell="A4" workbookViewId="0">
      <selection activeCell="B11" sqref="B11"/>
    </sheetView>
  </sheetViews>
  <sheetFormatPr defaultColWidth="8.85546875" defaultRowHeight="15" x14ac:dyDescent="0.25"/>
  <cols>
    <col min="1" max="1" width="2" customWidth="1"/>
    <col min="2" max="2" width="182.7109375" customWidth="1"/>
  </cols>
  <sheetData>
    <row r="2" spans="2:2" ht="21" x14ac:dyDescent="0.25">
      <c r="B2" s="130" t="s">
        <v>0</v>
      </c>
    </row>
    <row r="3" spans="2:2" ht="135" x14ac:dyDescent="0.25">
      <c r="B3" s="131" t="s">
        <v>1</v>
      </c>
    </row>
    <row r="4" spans="2:2" ht="45" x14ac:dyDescent="0.25">
      <c r="B4" s="132" t="s">
        <v>2</v>
      </c>
    </row>
    <row r="5" spans="2:2" ht="30" x14ac:dyDescent="0.25">
      <c r="B5" s="132" t="s">
        <v>3</v>
      </c>
    </row>
    <row r="6" spans="2:2" ht="120" x14ac:dyDescent="0.25">
      <c r="B6" s="132" t="s">
        <v>4</v>
      </c>
    </row>
    <row r="7" spans="2:2" ht="30" x14ac:dyDescent="0.25">
      <c r="B7" s="132" t="s">
        <v>5</v>
      </c>
    </row>
    <row r="8" spans="2:2" ht="242.1" customHeight="1" x14ac:dyDescent="0.25">
      <c r="B8" s="140" t="s">
        <v>6</v>
      </c>
    </row>
    <row r="9" spans="2:2" ht="30" x14ac:dyDescent="0.25">
      <c r="B9" s="132" t="s">
        <v>7</v>
      </c>
    </row>
    <row r="10" spans="2:2" x14ac:dyDescent="0.25">
      <c r="B10" s="132" t="s">
        <v>8</v>
      </c>
    </row>
    <row r="11" spans="2:2" ht="67.5" customHeight="1" x14ac:dyDescent="0.25">
      <c r="B11" s="137" t="s">
        <v>9</v>
      </c>
    </row>
    <row r="12" spans="2:2" x14ac:dyDescent="0.25">
      <c r="B12" s="131" t="s">
        <v>10</v>
      </c>
    </row>
    <row r="13" spans="2:2" x14ac:dyDescent="0.25">
      <c r="B13" s="132" t="s">
        <v>11</v>
      </c>
    </row>
    <row r="14" spans="2:2" ht="45" x14ac:dyDescent="0.25">
      <c r="B14" s="131" t="s">
        <v>12</v>
      </c>
    </row>
    <row r="15" spans="2:2" x14ac:dyDescent="0.25">
      <c r="B15" s="138" t="s">
        <v>13</v>
      </c>
    </row>
    <row r="16" spans="2:2" x14ac:dyDescent="0.25">
      <c r="B16" s="133" t="s">
        <v>14</v>
      </c>
    </row>
    <row r="17" spans="2:2" x14ac:dyDescent="0.25">
      <c r="B17" s="133" t="s">
        <v>15</v>
      </c>
    </row>
    <row r="18" spans="2:2" ht="155.25" customHeight="1" x14ac:dyDescent="0.25">
      <c r="B18" s="139" t="s">
        <v>16</v>
      </c>
    </row>
    <row r="19" spans="2:2" x14ac:dyDescent="0.25">
      <c r="B19" s="134" t="s">
        <v>17</v>
      </c>
    </row>
    <row r="20" spans="2:2" x14ac:dyDescent="0.25">
      <c r="B20" s="135" t="s">
        <v>18</v>
      </c>
    </row>
    <row r="21" spans="2:2" x14ac:dyDescent="0.25">
      <c r="B21" s="136"/>
    </row>
  </sheetData>
  <hyperlinks>
    <hyperlink ref="B20" r:id="rId1" xr:uid="{D61DA783-4822-4D3E-A4AE-36E83ED535A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E3030-A9AF-43FB-BEF3-5B7B4EE7E27B}">
  <sheetPr>
    <pageSetUpPr fitToPage="1"/>
  </sheetPr>
  <dimension ref="A1:AN175"/>
  <sheetViews>
    <sheetView showGridLines="0" tabSelected="1" zoomScaleNormal="100" workbookViewId="0">
      <selection activeCell="B7" sqref="B7:C7"/>
    </sheetView>
  </sheetViews>
  <sheetFormatPr defaultColWidth="8.85546875" defaultRowHeight="15" outlineLevelRow="1" outlineLevelCol="1" x14ac:dyDescent="0.25"/>
  <cols>
    <col min="1" max="1" width="1.28515625" style="4" customWidth="1"/>
    <col min="2" max="2" width="33.7109375" style="4" customWidth="1"/>
    <col min="3" max="3" width="15" style="4" customWidth="1"/>
    <col min="4" max="5" width="11.42578125" style="3" hidden="1" customWidth="1" outlineLevel="1"/>
    <col min="6" max="7" width="11.42578125" style="11" hidden="1" customWidth="1" outlineLevel="1"/>
    <col min="8" max="8" width="11.42578125" style="11" customWidth="1" collapsed="1"/>
    <col min="9" max="10" width="11.42578125" style="3" customWidth="1" outlineLevel="1"/>
    <col min="11" max="11" width="11.42578125" style="11" customWidth="1" outlineLevel="1"/>
    <col min="12" max="12" width="0.140625" style="11" customWidth="1" outlineLevel="1"/>
    <col min="13" max="13" width="11.42578125" style="11" customWidth="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16384" width="8.85546875" style="4"/>
  </cols>
  <sheetData>
    <row r="1" spans="1:40" ht="9.6" customHeight="1" x14ac:dyDescent="0.25">
      <c r="B1" s="141" t="s">
        <v>19</v>
      </c>
    </row>
    <row r="2" spans="1:40" ht="45" customHeight="1" x14ac:dyDescent="0.25">
      <c r="B2" s="298" t="s">
        <v>20</v>
      </c>
      <c r="C2" s="299"/>
      <c r="K2" s="237"/>
      <c r="L2" s="237"/>
      <c r="M2" s="237"/>
      <c r="N2" s="237"/>
      <c r="O2" s="237"/>
      <c r="P2" s="237"/>
      <c r="Q2" s="237"/>
      <c r="R2" s="237"/>
      <c r="S2" s="237"/>
      <c r="T2" s="237"/>
      <c r="U2" s="237"/>
      <c r="V2" s="237"/>
      <c r="W2" s="237"/>
      <c r="X2" s="237"/>
      <c r="Y2" s="237"/>
      <c r="Z2" s="237"/>
      <c r="AA2" s="237"/>
      <c r="AB2" s="237"/>
      <c r="AC2" s="237"/>
      <c r="AD2" s="237"/>
      <c r="AE2" s="237"/>
      <c r="AF2" s="237"/>
      <c r="AG2" s="237"/>
      <c r="AH2" s="237"/>
    </row>
    <row r="3" spans="1:40" x14ac:dyDescent="0.25">
      <c r="B3" s="300" t="s">
        <v>185</v>
      </c>
      <c r="C3" s="301"/>
      <c r="K3" s="237"/>
      <c r="L3" s="237"/>
      <c r="M3" s="237"/>
      <c r="N3" s="237"/>
      <c r="O3" s="237"/>
      <c r="P3" s="237"/>
      <c r="Q3" s="237"/>
      <c r="R3" s="237"/>
      <c r="S3" s="237"/>
      <c r="T3" s="237"/>
      <c r="U3" s="237"/>
      <c r="V3" s="237"/>
      <c r="W3" s="237"/>
      <c r="X3" s="237"/>
      <c r="Y3" s="237"/>
      <c r="Z3" s="237"/>
      <c r="AA3" s="237"/>
      <c r="AB3" s="237"/>
      <c r="AC3" s="237"/>
      <c r="AD3" s="237"/>
      <c r="AE3" s="237"/>
      <c r="AF3" s="237"/>
      <c r="AG3" s="237"/>
      <c r="AH3" s="237"/>
    </row>
    <row r="4" spans="1:40" hidden="1" x14ac:dyDescent="0.25">
      <c r="B4" s="302" t="s">
        <v>21</v>
      </c>
      <c r="C4" s="303"/>
      <c r="K4" s="237"/>
      <c r="L4" s="237"/>
      <c r="M4" s="237"/>
      <c r="N4" s="237"/>
      <c r="O4" s="237"/>
      <c r="P4" s="237"/>
      <c r="Q4" s="237"/>
      <c r="R4" s="237"/>
      <c r="S4" s="237"/>
      <c r="T4" s="237"/>
      <c r="U4" s="237"/>
      <c r="V4" s="237"/>
      <c r="W4" s="237"/>
      <c r="X4" s="237"/>
      <c r="Y4" s="237"/>
      <c r="Z4" s="237"/>
      <c r="AA4" s="237"/>
      <c r="AB4" s="237"/>
      <c r="AC4" s="237"/>
      <c r="AD4" s="237"/>
      <c r="AE4" s="237"/>
      <c r="AF4" s="237"/>
      <c r="AG4" s="237"/>
      <c r="AH4" s="237"/>
      <c r="AN4" s="141" t="s">
        <v>19</v>
      </c>
    </row>
    <row r="5" spans="1:40" hidden="1" x14ac:dyDescent="0.25">
      <c r="B5" s="304" t="s">
        <v>22</v>
      </c>
      <c r="C5" s="305"/>
      <c r="D5" s="12"/>
      <c r="E5" s="12" t="s">
        <v>23</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40" ht="5.0999999999999996" customHeight="1" x14ac:dyDescent="0.25">
      <c r="B6" s="141" t="s">
        <v>19</v>
      </c>
      <c r="D6" s="59"/>
      <c r="E6" s="221"/>
      <c r="F6" s="221"/>
      <c r="G6" s="221"/>
      <c r="H6" s="221"/>
      <c r="I6" s="221"/>
      <c r="J6" s="233"/>
      <c r="K6" s="233"/>
      <c r="L6" s="233"/>
      <c r="M6" s="233"/>
      <c r="N6" s="275"/>
      <c r="O6" s="275"/>
      <c r="P6" s="275"/>
      <c r="Q6" s="275"/>
      <c r="R6" s="275"/>
      <c r="S6" s="275"/>
      <c r="T6" s="275"/>
      <c r="U6" s="275"/>
      <c r="V6" s="275"/>
      <c r="W6" s="275"/>
    </row>
    <row r="7" spans="1:40" ht="15.75" x14ac:dyDescent="0.25">
      <c r="A7" s="287"/>
      <c r="B7" s="288" t="s">
        <v>24</v>
      </c>
      <c r="C7" s="289"/>
      <c r="D7" s="20" t="s">
        <v>25</v>
      </c>
      <c r="E7" s="20" t="s">
        <v>26</v>
      </c>
      <c r="F7" s="20" t="s">
        <v>27</v>
      </c>
      <c r="G7" s="20" t="s">
        <v>28</v>
      </c>
      <c r="H7" s="50" t="s">
        <v>28</v>
      </c>
      <c r="I7" s="20" t="s">
        <v>29</v>
      </c>
      <c r="J7" s="20" t="s">
        <v>30</v>
      </c>
      <c r="K7" s="20" t="s">
        <v>31</v>
      </c>
      <c r="L7" s="20" t="s">
        <v>32</v>
      </c>
      <c r="M7" s="50" t="s">
        <v>32</v>
      </c>
      <c r="N7" s="20" t="s">
        <v>33</v>
      </c>
      <c r="O7" s="22" t="s">
        <v>34</v>
      </c>
      <c r="P7" s="22" t="s">
        <v>35</v>
      </c>
      <c r="Q7" s="22" t="s">
        <v>36</v>
      </c>
      <c r="R7" s="52" t="s">
        <v>36</v>
      </c>
      <c r="S7" s="22" t="s">
        <v>37</v>
      </c>
      <c r="T7" s="22" t="s">
        <v>38</v>
      </c>
      <c r="U7" s="22" t="s">
        <v>39</v>
      </c>
      <c r="V7" s="22" t="s">
        <v>40</v>
      </c>
      <c r="W7" s="52" t="s">
        <v>40</v>
      </c>
    </row>
    <row r="8" spans="1:40" ht="17.45" customHeight="1" x14ac:dyDescent="0.4">
      <c r="A8" s="287"/>
      <c r="B8" s="290" t="s">
        <v>41</v>
      </c>
      <c r="C8" s="291"/>
      <c r="D8" s="21" t="s">
        <v>42</v>
      </c>
      <c r="E8" s="21" t="s">
        <v>43</v>
      </c>
      <c r="F8" s="21" t="s">
        <v>44</v>
      </c>
      <c r="G8" s="21" t="s">
        <v>45</v>
      </c>
      <c r="H8" s="51" t="s">
        <v>46</v>
      </c>
      <c r="I8" s="21" t="s">
        <v>47</v>
      </c>
      <c r="J8" s="21" t="s">
        <v>48</v>
      </c>
      <c r="K8" s="21" t="s">
        <v>49</v>
      </c>
      <c r="L8" s="21" t="s">
        <v>50</v>
      </c>
      <c r="M8" s="51" t="s">
        <v>51</v>
      </c>
      <c r="N8" s="21" t="s">
        <v>52</v>
      </c>
      <c r="O8" s="19" t="s">
        <v>53</v>
      </c>
      <c r="P8" s="19" t="s">
        <v>54</v>
      </c>
      <c r="Q8" s="19" t="s">
        <v>55</v>
      </c>
      <c r="R8" s="53" t="s">
        <v>56</v>
      </c>
      <c r="S8" s="19" t="s">
        <v>57</v>
      </c>
      <c r="T8" s="19" t="s">
        <v>58</v>
      </c>
      <c r="U8" s="19" t="s">
        <v>59</v>
      </c>
      <c r="V8" s="19" t="s">
        <v>60</v>
      </c>
      <c r="W8" s="53" t="s">
        <v>61</v>
      </c>
    </row>
    <row r="9" spans="1:40" outlineLevel="1" x14ac:dyDescent="0.25">
      <c r="A9" s="142"/>
      <c r="B9" s="292" t="s">
        <v>62</v>
      </c>
      <c r="C9" s="293"/>
      <c r="D9" s="148">
        <v>5370.3</v>
      </c>
      <c r="E9" s="148">
        <v>5159</v>
      </c>
      <c r="F9" s="148">
        <v>5535</v>
      </c>
      <c r="G9" s="148">
        <f>H9-F9-E9-D9</f>
        <v>5480.1000000000013</v>
      </c>
      <c r="H9" s="246">
        <v>21544.400000000001</v>
      </c>
      <c r="I9" s="148">
        <v>5780.7</v>
      </c>
      <c r="J9" s="148">
        <v>4766</v>
      </c>
      <c r="K9" s="148">
        <v>3444.4</v>
      </c>
      <c r="L9" s="148">
        <v>5173.6000000000004</v>
      </c>
      <c r="M9" s="64">
        <f>SUM(I9:L9)</f>
        <v>19164.7</v>
      </c>
      <c r="N9" s="63">
        <v>5726.5</v>
      </c>
      <c r="O9" s="63">
        <f>+O52+O87</f>
        <v>5114.2531250051697</v>
      </c>
      <c r="P9" s="63">
        <f>+P52+P87</f>
        <v>3727.6695239263599</v>
      </c>
      <c r="Q9" s="63">
        <f>+Q52+Q87</f>
        <v>5769.2479129961621</v>
      </c>
      <c r="R9" s="64">
        <f>SUM(N9:Q9)</f>
        <v>20337.670561927691</v>
      </c>
      <c r="S9" s="63">
        <f>+S52+S87</f>
        <v>6322.36434300975</v>
      </c>
      <c r="T9" s="63">
        <f>+T52+T87</f>
        <v>5548.6616088609171</v>
      </c>
      <c r="U9" s="63">
        <f>+U52+U87</f>
        <v>4135.3823398233362</v>
      </c>
      <c r="V9" s="63">
        <f>+V52+V87</f>
        <v>6209.1844942776052</v>
      </c>
      <c r="W9" s="64">
        <f>SUM(S9:V9)</f>
        <v>22215.592785971607</v>
      </c>
    </row>
    <row r="10" spans="1:40" outlineLevel="1" x14ac:dyDescent="0.25">
      <c r="A10" s="142"/>
      <c r="B10" s="292" t="s">
        <v>63</v>
      </c>
      <c r="C10" s="293"/>
      <c r="D10" s="148">
        <v>737.1</v>
      </c>
      <c r="E10" s="148">
        <v>678.2</v>
      </c>
      <c r="F10" s="148">
        <v>725</v>
      </c>
      <c r="G10" s="148">
        <f t="shared" ref="G10:G20" si="0">H10-F10-E10-D10</f>
        <v>734.69999999999993</v>
      </c>
      <c r="H10" s="246">
        <v>2875</v>
      </c>
      <c r="I10" s="148">
        <v>792</v>
      </c>
      <c r="J10" s="148">
        <v>689.8</v>
      </c>
      <c r="K10" s="148">
        <v>300.5</v>
      </c>
      <c r="L10" s="63">
        <v>544.6</v>
      </c>
      <c r="M10" s="64">
        <f t="shared" ref="M10:M11" si="1">SUM(I10:L10)</f>
        <v>2326.9</v>
      </c>
      <c r="N10" s="63">
        <v>613.79999999999995</v>
      </c>
      <c r="O10" s="63">
        <f>+O59+O94</f>
        <v>587.91150000000005</v>
      </c>
      <c r="P10" s="63">
        <f>+P59+P94</f>
        <v>715.05549999999994</v>
      </c>
      <c r="Q10" s="63">
        <f>+Q59+Q94</f>
        <v>786.82500000000005</v>
      </c>
      <c r="R10" s="64">
        <f t="shared" ref="R10:R11" si="2">SUM(N10:Q10)</f>
        <v>2703.5919999999996</v>
      </c>
      <c r="S10" s="63">
        <f>+S59+S94</f>
        <v>834.99</v>
      </c>
      <c r="T10" s="63">
        <f>+T59+T94</f>
        <v>655.91673749999995</v>
      </c>
      <c r="U10" s="63">
        <f>+U59+U94</f>
        <v>747.05290312500006</v>
      </c>
      <c r="V10" s="63">
        <f>+V59+V94</f>
        <v>828.09704062499998</v>
      </c>
      <c r="W10" s="64">
        <f t="shared" ref="W10:W11" si="3">SUM(S10:V10)</f>
        <v>3066.0566812500001</v>
      </c>
    </row>
    <row r="11" spans="1:40" ht="17.25" outlineLevel="1" x14ac:dyDescent="0.4">
      <c r="A11" s="142"/>
      <c r="B11" s="292" t="s">
        <v>64</v>
      </c>
      <c r="C11" s="293"/>
      <c r="D11" s="147">
        <v>525.29999999999995</v>
      </c>
      <c r="E11" s="147">
        <v>468.7</v>
      </c>
      <c r="F11" s="147">
        <v>563</v>
      </c>
      <c r="G11" s="147">
        <f t="shared" si="0"/>
        <v>532.19999999999982</v>
      </c>
      <c r="H11" s="249">
        <v>2089.1999999999998</v>
      </c>
      <c r="I11" s="147">
        <v>524.4</v>
      </c>
      <c r="J11" s="147">
        <v>539.9</v>
      </c>
      <c r="K11" s="147">
        <v>477.2</v>
      </c>
      <c r="L11" s="67">
        <v>484.9</v>
      </c>
      <c r="M11" s="68">
        <f t="shared" si="1"/>
        <v>2026.4</v>
      </c>
      <c r="N11" s="67">
        <v>409.1</v>
      </c>
      <c r="O11" s="67">
        <f>+O60+O95+O115+O130</f>
        <v>401.25200000000001</v>
      </c>
      <c r="P11" s="67">
        <f>+P60+P95+P115+P130</f>
        <v>419.17500000000001</v>
      </c>
      <c r="Q11" s="67">
        <f>+Q60+Q95+Q115+Q130</f>
        <v>466.16499999999996</v>
      </c>
      <c r="R11" s="68">
        <f t="shared" si="2"/>
        <v>1695.692</v>
      </c>
      <c r="S11" s="67">
        <f>+S60+S95+S115+S130</f>
        <v>389.048</v>
      </c>
      <c r="T11" s="67">
        <f>+T60+T95+T115+T130</f>
        <v>371.10929999999996</v>
      </c>
      <c r="U11" s="67">
        <f>+U60+U95+U115+U130</f>
        <v>368.36124999999998</v>
      </c>
      <c r="V11" s="67">
        <f>+V60+V95+V115+V130</f>
        <v>416.89174999999994</v>
      </c>
      <c r="W11" s="68">
        <f t="shared" si="3"/>
        <v>1545.4103</v>
      </c>
    </row>
    <row r="12" spans="1:40" s="16" customFormat="1" x14ac:dyDescent="0.25">
      <c r="A12" s="156"/>
      <c r="B12" s="308" t="s">
        <v>65</v>
      </c>
      <c r="C12" s="309"/>
      <c r="D12" s="146">
        <f t="shared" ref="D12:W12" si="4">SUM(D9:D11)</f>
        <v>6632.7000000000007</v>
      </c>
      <c r="E12" s="146">
        <f t="shared" si="4"/>
        <v>6305.9</v>
      </c>
      <c r="F12" s="146">
        <f t="shared" si="4"/>
        <v>6823</v>
      </c>
      <c r="G12" s="146">
        <f t="shared" si="4"/>
        <v>6747.0000000000009</v>
      </c>
      <c r="H12" s="247">
        <f t="shared" si="4"/>
        <v>26508.600000000002</v>
      </c>
      <c r="I12" s="146">
        <f>SUM(I9:I11)</f>
        <v>7097.0999999999995</v>
      </c>
      <c r="J12" s="146">
        <f>SUM(J9:J11)</f>
        <v>5995.7</v>
      </c>
      <c r="K12" s="146">
        <f>SUM(K9:K11)</f>
        <v>4222.1000000000004</v>
      </c>
      <c r="L12" s="146">
        <f>SUM(L9:L11)</f>
        <v>6203.1</v>
      </c>
      <c r="M12" s="247">
        <f t="shared" si="4"/>
        <v>23518.000000000004</v>
      </c>
      <c r="N12" s="146">
        <f t="shared" si="4"/>
        <v>6749.4000000000005</v>
      </c>
      <c r="O12" s="146">
        <f t="shared" si="4"/>
        <v>6103.4166250051703</v>
      </c>
      <c r="P12" s="146">
        <f t="shared" si="4"/>
        <v>4861.9000239263596</v>
      </c>
      <c r="Q12" s="146">
        <f t="shared" si="4"/>
        <v>7022.2379129961619</v>
      </c>
      <c r="R12" s="247">
        <f t="shared" si="4"/>
        <v>24736.954561927691</v>
      </c>
      <c r="S12" s="146">
        <f t="shared" si="4"/>
        <v>7546.4023430097495</v>
      </c>
      <c r="T12" s="65">
        <f t="shared" si="4"/>
        <v>6575.6876463609169</v>
      </c>
      <c r="U12" s="65">
        <f t="shared" si="4"/>
        <v>5250.796492948336</v>
      </c>
      <c r="V12" s="65">
        <f t="shared" si="4"/>
        <v>7454.1732849026048</v>
      </c>
      <c r="W12" s="247">
        <f t="shared" si="4"/>
        <v>26827.059767221606</v>
      </c>
    </row>
    <row r="13" spans="1:40" outlineLevel="1" x14ac:dyDescent="0.25">
      <c r="A13" s="142"/>
      <c r="B13" s="310" t="s">
        <v>66</v>
      </c>
      <c r="C13" s="311"/>
      <c r="D13" s="148">
        <v>2175.8000000000002</v>
      </c>
      <c r="E13" s="148">
        <v>2012</v>
      </c>
      <c r="F13" s="148">
        <v>2199.6</v>
      </c>
      <c r="G13" s="148">
        <f t="shared" si="0"/>
        <v>2139.4999999999991</v>
      </c>
      <c r="H13" s="246">
        <v>8526.9</v>
      </c>
      <c r="I13" s="148">
        <v>2236.4</v>
      </c>
      <c r="J13" s="148">
        <v>1997.7</v>
      </c>
      <c r="K13" s="148">
        <v>1484</v>
      </c>
      <c r="L13" s="148">
        <v>1976.8</v>
      </c>
      <c r="M13" s="246">
        <f>SUM(I13:L13)</f>
        <v>7694.9000000000005</v>
      </c>
      <c r="N13" s="148">
        <v>2049.1</v>
      </c>
      <c r="O13" s="148">
        <f>+O65+O100+O117+O132</f>
        <v>1999.7657048375513</v>
      </c>
      <c r="P13" s="148">
        <f>+P65+P100+P117+P132</f>
        <v>1576.2021624383965</v>
      </c>
      <c r="Q13" s="148">
        <f>+Q65+Q100+Q117+Q132</f>
        <v>2090.6714481481517</v>
      </c>
      <c r="R13" s="246">
        <f>SUM(N13:Q13)</f>
        <v>7715.7393154240999</v>
      </c>
      <c r="S13" s="148">
        <f>+S65+S100+S117+S132</f>
        <v>2187.7522705909309</v>
      </c>
      <c r="T13" s="148">
        <f>+T65+T100+T117+T132</f>
        <v>1894.5590738175292</v>
      </c>
      <c r="U13" s="148">
        <f>+U65+U100+U117+U132</f>
        <v>1569.2468654016775</v>
      </c>
      <c r="V13" s="148">
        <f>+V65+V100+V117+V132</f>
        <v>2195.0537694572567</v>
      </c>
      <c r="W13" s="246">
        <f>SUM(S13:V13)</f>
        <v>7846.6119792673944</v>
      </c>
    </row>
    <row r="14" spans="1:40" outlineLevel="1" x14ac:dyDescent="0.25">
      <c r="A14" s="142"/>
      <c r="B14" s="286" t="s">
        <v>67</v>
      </c>
      <c r="C14" s="193"/>
      <c r="D14" s="148">
        <v>2586.8000000000002</v>
      </c>
      <c r="E14" s="148">
        <v>2554.1</v>
      </c>
      <c r="F14" s="148">
        <v>2643.2</v>
      </c>
      <c r="G14" s="148">
        <f t="shared" si="0"/>
        <v>2709.5000000000009</v>
      </c>
      <c r="H14" s="246">
        <v>10493.6</v>
      </c>
      <c r="I14" s="148">
        <v>2821.5</v>
      </c>
      <c r="J14" s="148">
        <v>2721.4</v>
      </c>
      <c r="K14" s="148">
        <v>2537.8000000000002</v>
      </c>
      <c r="L14" s="63">
        <v>2683.4</v>
      </c>
      <c r="M14" s="64">
        <f t="shared" ref="M14:M17" si="5">SUM(I14:L14)</f>
        <v>10764.1</v>
      </c>
      <c r="N14" s="63">
        <v>2867.3</v>
      </c>
      <c r="O14" s="63">
        <f>+O67+O102</f>
        <v>2691.3275367932033</v>
      </c>
      <c r="P14" s="63">
        <f>+P67+P102</f>
        <v>1882.7496917406386</v>
      </c>
      <c r="Q14" s="63">
        <f>+Q67+Q102</f>
        <v>2869.3894044453423</v>
      </c>
      <c r="R14" s="64">
        <f t="shared" ref="R14:R17" si="6">SUM(N14:Q14)</f>
        <v>10310.766632979185</v>
      </c>
      <c r="S14" s="63">
        <f>+S67+S102</f>
        <v>3190.6708995099971</v>
      </c>
      <c r="T14" s="63">
        <f>+T67+T102</f>
        <v>2856.5482436863686</v>
      </c>
      <c r="U14" s="63">
        <f>+U67+U102</f>
        <v>2177.6664191022146</v>
      </c>
      <c r="V14" s="63">
        <f>+V67+V102</f>
        <v>3235.6535416789156</v>
      </c>
      <c r="W14" s="246">
        <f t="shared" ref="W14:W17" si="7">SUM(S14:V14)</f>
        <v>11460.539103977495</v>
      </c>
    </row>
    <row r="15" spans="1:40" outlineLevel="1" x14ac:dyDescent="0.25">
      <c r="A15" s="142"/>
      <c r="B15" s="286" t="s">
        <v>68</v>
      </c>
      <c r="C15" s="193"/>
      <c r="D15" s="148">
        <v>97.6</v>
      </c>
      <c r="E15" s="148">
        <v>87.1</v>
      </c>
      <c r="F15" s="148">
        <v>94.4</v>
      </c>
      <c r="G15" s="148">
        <f t="shared" si="0"/>
        <v>91.900000000000034</v>
      </c>
      <c r="H15" s="246">
        <v>371</v>
      </c>
      <c r="I15" s="148">
        <v>101.8</v>
      </c>
      <c r="J15" s="148">
        <v>95</v>
      </c>
      <c r="K15" s="148">
        <v>133.6</v>
      </c>
      <c r="L15" s="63">
        <v>99.9</v>
      </c>
      <c r="M15" s="64">
        <f t="shared" si="5"/>
        <v>430.29999999999995</v>
      </c>
      <c r="N15" s="63">
        <v>91.8</v>
      </c>
      <c r="O15" s="63">
        <f>+O69+O104+O119+O133</f>
        <v>97.672095844704387</v>
      </c>
      <c r="P15" s="63">
        <f>+P69+P104+P119+P133</f>
        <v>87.356826955812352</v>
      </c>
      <c r="Q15" s="63">
        <f>+Q69+Q104+Q119+Q133</f>
        <v>117.35544998369841</v>
      </c>
      <c r="R15" s="64">
        <f t="shared" si="6"/>
        <v>394.1843727842151</v>
      </c>
      <c r="S15" s="63">
        <f>+S69+S104+S119+S133</f>
        <v>121.69698035053258</v>
      </c>
      <c r="T15" s="63">
        <f>+T69+T104+T119+T133</f>
        <v>103.86538406193345</v>
      </c>
      <c r="U15" s="63">
        <f>+U69+U104+U119+U133</f>
        <v>88.017479654159061</v>
      </c>
      <c r="V15" s="63">
        <f>+V69+V104+V119+V133</f>
        <v>122.05524475952068</v>
      </c>
      <c r="W15" s="246">
        <f t="shared" si="7"/>
        <v>435.63508882614576</v>
      </c>
    </row>
    <row r="16" spans="1:40" outlineLevel="1" x14ac:dyDescent="0.25">
      <c r="A16" s="142"/>
      <c r="B16" s="286" t="s">
        <v>69</v>
      </c>
      <c r="C16" s="193"/>
      <c r="D16" s="148">
        <v>333.4</v>
      </c>
      <c r="E16" s="148">
        <v>356.2</v>
      </c>
      <c r="F16" s="148">
        <v>343.1</v>
      </c>
      <c r="G16" s="148">
        <f t="shared" si="0"/>
        <v>344.5999999999998</v>
      </c>
      <c r="H16" s="246">
        <v>1377.3</v>
      </c>
      <c r="I16" s="148">
        <v>351</v>
      </c>
      <c r="J16" s="148">
        <v>356.3</v>
      </c>
      <c r="K16" s="148">
        <v>361</v>
      </c>
      <c r="L16" s="63">
        <v>362.9</v>
      </c>
      <c r="M16" s="64">
        <f t="shared" ref="M16" si="8">SUM(I16:L16)</f>
        <v>1431.1999999999998</v>
      </c>
      <c r="N16" s="63">
        <v>366.1</v>
      </c>
      <c r="O16" s="63">
        <f t="shared" ref="O16:Q17" si="9">+O71+O106+O121+O134</f>
        <v>373.18492498151539</v>
      </c>
      <c r="P16" s="63">
        <f t="shared" si="9"/>
        <v>376.60677928569373</v>
      </c>
      <c r="Q16" s="63">
        <f t="shared" si="9"/>
        <v>380.74472955904707</v>
      </c>
      <c r="R16" s="64">
        <f t="shared" ref="R16" si="10">SUM(N16:Q16)</f>
        <v>1496.6364338262563</v>
      </c>
      <c r="S16" s="63">
        <f t="shared" ref="S16:V17" si="11">+S71+S106+S121+S134</f>
        <v>385.0045431200694</v>
      </c>
      <c r="T16" s="63">
        <f t="shared" si="11"/>
        <v>387.9310209964674</v>
      </c>
      <c r="U16" s="63">
        <f t="shared" si="11"/>
        <v>391.13778973518242</v>
      </c>
      <c r="V16" s="63">
        <f t="shared" si="11"/>
        <v>395.00393635213669</v>
      </c>
      <c r="W16" s="246">
        <f t="shared" ref="W16" si="12">SUM(S16:V16)</f>
        <v>1559.0772902038559</v>
      </c>
    </row>
    <row r="17" spans="1:23" ht="17.25" customHeight="1" outlineLevel="1" x14ac:dyDescent="0.25">
      <c r="A17" s="142"/>
      <c r="B17" s="286" t="s">
        <v>70</v>
      </c>
      <c r="C17" s="193"/>
      <c r="D17" s="148">
        <v>448</v>
      </c>
      <c r="E17" s="148">
        <v>458.1</v>
      </c>
      <c r="F17" s="148">
        <v>459.7</v>
      </c>
      <c r="G17" s="148">
        <f t="shared" si="0"/>
        <v>458.29999999999984</v>
      </c>
      <c r="H17" s="246">
        <v>1824.1</v>
      </c>
      <c r="I17" s="148">
        <v>434.2</v>
      </c>
      <c r="J17" s="148">
        <v>406.5</v>
      </c>
      <c r="K17" s="148">
        <v>399.9</v>
      </c>
      <c r="L17" s="63">
        <v>439</v>
      </c>
      <c r="M17" s="246">
        <f t="shared" si="5"/>
        <v>1679.6</v>
      </c>
      <c r="N17" s="63">
        <v>472.1</v>
      </c>
      <c r="O17" s="63">
        <f t="shared" si="9"/>
        <v>432.15916864519295</v>
      </c>
      <c r="P17" s="63">
        <f t="shared" si="9"/>
        <v>415.68737169115514</v>
      </c>
      <c r="Q17" s="63">
        <f t="shared" si="9"/>
        <v>449.5698244452542</v>
      </c>
      <c r="R17" s="246">
        <f t="shared" si="6"/>
        <v>1769.5163647816023</v>
      </c>
      <c r="S17" s="63">
        <f t="shared" si="11"/>
        <v>482.43170024190084</v>
      </c>
      <c r="T17" s="63">
        <f t="shared" si="11"/>
        <v>441.87520384827252</v>
      </c>
      <c r="U17" s="63">
        <f t="shared" si="11"/>
        <v>421.96408957392748</v>
      </c>
      <c r="V17" s="63">
        <f t="shared" si="11"/>
        <v>476.53393327310187</v>
      </c>
      <c r="W17" s="246">
        <f t="shared" si="7"/>
        <v>1822.8049269372027</v>
      </c>
    </row>
    <row r="18" spans="1:23" ht="17.25" customHeight="1" outlineLevel="1" x14ac:dyDescent="0.4">
      <c r="A18" s="142"/>
      <c r="B18" s="286" t="s">
        <v>71</v>
      </c>
      <c r="C18" s="193"/>
      <c r="D18" s="147">
        <v>43.2</v>
      </c>
      <c r="E18" s="147">
        <v>43</v>
      </c>
      <c r="F18" s="147">
        <v>37.700000000000003</v>
      </c>
      <c r="G18" s="147">
        <f t="shared" si="0"/>
        <v>11.900000000000006</v>
      </c>
      <c r="H18" s="249">
        <v>135.80000000000001</v>
      </c>
      <c r="I18" s="147">
        <v>6.3</v>
      </c>
      <c r="J18" s="147">
        <v>-0.7</v>
      </c>
      <c r="K18" s="147">
        <v>78.099999999999994</v>
      </c>
      <c r="L18" s="147">
        <v>195</v>
      </c>
      <c r="M18" s="68">
        <f t="shared" ref="M18" si="13">SUM(I18:L18)</f>
        <v>278.7</v>
      </c>
      <c r="N18" s="67">
        <v>72.2</v>
      </c>
      <c r="O18" s="67">
        <f>+O74+O109+O124+O136</f>
        <v>30.524999999999999</v>
      </c>
      <c r="P18" s="67">
        <f>+P74+P109+P124+P136</f>
        <v>21.90625</v>
      </c>
      <c r="Q18" s="67">
        <f>+Q74+Q109+Q124+Q136</f>
        <v>8.1078124999999996</v>
      </c>
      <c r="R18" s="68">
        <f t="shared" ref="R18" si="14">SUM(N18:Q18)</f>
        <v>132.73906249999999</v>
      </c>
      <c r="S18" s="67">
        <f>+S74+S109+S124+S136</f>
        <v>3.884765625</v>
      </c>
      <c r="T18" s="67">
        <f>+T74+T109+T124+T136</f>
        <v>4.85595703125</v>
      </c>
      <c r="U18" s="67">
        <f>+U74+U109+U124+U136</f>
        <v>4.6886962890625004</v>
      </c>
      <c r="V18" s="67">
        <f>+V74+V109+V124+V136</f>
        <v>4.134307861328125</v>
      </c>
      <c r="W18" s="249">
        <f t="shared" ref="W18" si="15">SUM(S18:V18)</f>
        <v>17.563726806640624</v>
      </c>
    </row>
    <row r="19" spans="1:23" s="27" customFormat="1" ht="17.25" customHeight="1" x14ac:dyDescent="0.4">
      <c r="A19" s="194"/>
      <c r="B19" s="195" t="s">
        <v>72</v>
      </c>
      <c r="C19" s="196"/>
      <c r="D19" s="149">
        <f t="shared" ref="D19:W19" si="16">SUM(D14:D18)+D13</f>
        <v>5684.8</v>
      </c>
      <c r="E19" s="149">
        <f t="shared" si="16"/>
        <v>5510.5</v>
      </c>
      <c r="F19" s="149">
        <f t="shared" si="16"/>
        <v>5777.6999999999989</v>
      </c>
      <c r="G19" s="149">
        <f t="shared" si="16"/>
        <v>5755.7</v>
      </c>
      <c r="H19" s="251">
        <f t="shared" si="16"/>
        <v>22728.699999999997</v>
      </c>
      <c r="I19" s="149">
        <f t="shared" si="16"/>
        <v>5951.2000000000007</v>
      </c>
      <c r="J19" s="149">
        <f t="shared" si="16"/>
        <v>5576.2000000000007</v>
      </c>
      <c r="K19" s="149">
        <f t="shared" si="16"/>
        <v>4994.3999999999996</v>
      </c>
      <c r="L19" s="69">
        <f t="shared" si="16"/>
        <v>5757</v>
      </c>
      <c r="M19" s="70">
        <f t="shared" si="16"/>
        <v>22278.799999999999</v>
      </c>
      <c r="N19" s="69">
        <f t="shared" si="16"/>
        <v>5918.6</v>
      </c>
      <c r="O19" s="69">
        <f t="shared" si="16"/>
        <v>5624.6344311021676</v>
      </c>
      <c r="P19" s="69">
        <f t="shared" si="16"/>
        <v>4360.5090821116955</v>
      </c>
      <c r="Q19" s="69">
        <f t="shared" si="16"/>
        <v>5915.8386690814932</v>
      </c>
      <c r="R19" s="70">
        <f t="shared" si="16"/>
        <v>21819.582182295359</v>
      </c>
      <c r="S19" s="69">
        <f t="shared" si="16"/>
        <v>6371.441159438431</v>
      </c>
      <c r="T19" s="69">
        <f t="shared" si="16"/>
        <v>5689.6348834418213</v>
      </c>
      <c r="U19" s="69">
        <f t="shared" si="16"/>
        <v>4652.7213397562246</v>
      </c>
      <c r="V19" s="69">
        <f t="shared" si="16"/>
        <v>6428.4347333822598</v>
      </c>
      <c r="W19" s="251">
        <f t="shared" si="16"/>
        <v>23142.232116018735</v>
      </c>
    </row>
    <row r="20" spans="1:23" s="30" customFormat="1" ht="17.25" customHeight="1" x14ac:dyDescent="0.4">
      <c r="A20" s="179"/>
      <c r="B20" s="312" t="s">
        <v>73</v>
      </c>
      <c r="C20" s="313"/>
      <c r="D20" s="147">
        <v>67.8</v>
      </c>
      <c r="E20" s="147">
        <v>62.3</v>
      </c>
      <c r="F20" s="147">
        <v>76</v>
      </c>
      <c r="G20" s="147">
        <f t="shared" si="0"/>
        <v>91.899999999999991</v>
      </c>
      <c r="H20" s="249">
        <v>298</v>
      </c>
      <c r="I20" s="147">
        <v>73.900000000000006</v>
      </c>
      <c r="J20" s="147">
        <v>67.900000000000006</v>
      </c>
      <c r="K20" s="147">
        <v>68.400000000000006</v>
      </c>
      <c r="L20" s="67">
        <v>112.2</v>
      </c>
      <c r="M20" s="68">
        <f t="shared" ref="M20" si="17">SUM(I20:L20)</f>
        <v>322.40000000000003</v>
      </c>
      <c r="N20" s="67">
        <v>82.7</v>
      </c>
      <c r="O20" s="67">
        <f>+O111+O126</f>
        <v>82.8</v>
      </c>
      <c r="P20" s="67">
        <f>+P111+P126</f>
        <v>86.525000000000006</v>
      </c>
      <c r="Q20" s="67">
        <f>+Q111+Q126</f>
        <v>91.056250000000006</v>
      </c>
      <c r="R20" s="68">
        <f t="shared" ref="R20" si="18">SUM(N20:Q20)</f>
        <v>343.08125000000001</v>
      </c>
      <c r="S20" s="67">
        <f>+S111+S126</f>
        <v>85.770312500000003</v>
      </c>
      <c r="T20" s="67">
        <f>+T111+T126</f>
        <v>86.537890624999989</v>
      </c>
      <c r="U20" s="67">
        <f>+U111+U126</f>
        <v>87.472363281249997</v>
      </c>
      <c r="V20" s="67">
        <f>+V111+V126</f>
        <v>87.709204101562506</v>
      </c>
      <c r="W20" s="249">
        <f t="shared" ref="W20" si="19">SUM(S20:V20)</f>
        <v>347.48977050781252</v>
      </c>
    </row>
    <row r="21" spans="1:23" x14ac:dyDescent="0.25">
      <c r="A21" s="142"/>
      <c r="B21" s="197" t="s">
        <v>74</v>
      </c>
      <c r="C21" s="198"/>
      <c r="D21" s="146">
        <f t="shared" ref="D21:W21" si="20">D12-D19+D20</f>
        <v>1015.7000000000005</v>
      </c>
      <c r="E21" s="146">
        <f t="shared" si="20"/>
        <v>857.69999999999959</v>
      </c>
      <c r="F21" s="146">
        <f t="shared" si="20"/>
        <v>1121.3000000000011</v>
      </c>
      <c r="G21" s="146">
        <f t="shared" si="20"/>
        <v>1083.2000000000012</v>
      </c>
      <c r="H21" s="247">
        <f t="shared" si="20"/>
        <v>4077.9000000000051</v>
      </c>
      <c r="I21" s="146">
        <f t="shared" si="20"/>
        <v>1219.7999999999988</v>
      </c>
      <c r="J21" s="146">
        <f t="shared" si="20"/>
        <v>487.39999999999907</v>
      </c>
      <c r="K21" s="146">
        <f t="shared" si="20"/>
        <v>-703.8999999999993</v>
      </c>
      <c r="L21" s="65">
        <f t="shared" si="20"/>
        <v>558.30000000000041</v>
      </c>
      <c r="M21" s="66">
        <f t="shared" si="20"/>
        <v>1561.6000000000045</v>
      </c>
      <c r="N21" s="65">
        <f t="shared" si="20"/>
        <v>913.50000000000023</v>
      </c>
      <c r="O21" s="65">
        <f t="shared" si="20"/>
        <v>561.58219390300269</v>
      </c>
      <c r="P21" s="65">
        <f t="shared" si="20"/>
        <v>587.91594181466405</v>
      </c>
      <c r="Q21" s="65">
        <f t="shared" si="20"/>
        <v>1197.4554939146688</v>
      </c>
      <c r="R21" s="66">
        <f t="shared" si="20"/>
        <v>3260.4536296323322</v>
      </c>
      <c r="S21" s="65">
        <f t="shared" si="20"/>
        <v>1260.7314960713186</v>
      </c>
      <c r="T21" s="65">
        <f t="shared" si="20"/>
        <v>972.59065354409563</v>
      </c>
      <c r="U21" s="65">
        <f t="shared" si="20"/>
        <v>685.54751647336138</v>
      </c>
      <c r="V21" s="65">
        <f t="shared" si="20"/>
        <v>1113.4477556219076</v>
      </c>
      <c r="W21" s="247">
        <f t="shared" si="20"/>
        <v>4032.3174217106839</v>
      </c>
    </row>
    <row r="22" spans="1:23" ht="17.25" x14ac:dyDescent="0.4">
      <c r="A22" s="142"/>
      <c r="B22" s="176" t="s">
        <v>75</v>
      </c>
      <c r="C22" s="117"/>
      <c r="D22" s="150">
        <f>+D171</f>
        <v>138</v>
      </c>
      <c r="E22" s="150">
        <f>+E171</f>
        <v>141.4</v>
      </c>
      <c r="F22" s="150">
        <f>+F171</f>
        <v>125.30000000000001</v>
      </c>
      <c r="G22" s="150">
        <f>+G171</f>
        <v>77.399999999999991</v>
      </c>
      <c r="H22" s="252">
        <f>SUM(D22:G22)</f>
        <v>482.09999999999997</v>
      </c>
      <c r="I22" s="150">
        <f>+I171</f>
        <v>71.599999999999994</v>
      </c>
      <c r="J22" s="150">
        <f>+J171</f>
        <v>66.8</v>
      </c>
      <c r="K22" s="150">
        <f>+K171</f>
        <v>173.67999999999998</v>
      </c>
      <c r="L22" s="118">
        <f>+L171</f>
        <v>259.5</v>
      </c>
      <c r="M22" s="119">
        <f>SUM(I22:L22)</f>
        <v>571.57999999999993</v>
      </c>
      <c r="N22" s="150">
        <f>+N171</f>
        <v>134.9</v>
      </c>
      <c r="O22" s="118">
        <f>+O171</f>
        <v>180.52500000000001</v>
      </c>
      <c r="P22" s="118">
        <f>+P171</f>
        <v>136.90625</v>
      </c>
      <c r="Q22" s="118">
        <f>+Q171</f>
        <v>15.995851429640865</v>
      </c>
      <c r="R22" s="119">
        <f>SUM(N22:Q22)</f>
        <v>468.32710142964089</v>
      </c>
      <c r="S22" s="118">
        <f>+S171</f>
        <v>141.50238281249997</v>
      </c>
      <c r="T22" s="118">
        <f>+T171</f>
        <v>150.24018066406248</v>
      </c>
      <c r="U22" s="118">
        <f>+U171</f>
        <v>160.6702032470703</v>
      </c>
      <c r="V22" s="118">
        <f>+V171</f>
        <v>159.04397865295408</v>
      </c>
      <c r="W22" s="252">
        <f>SUM(S22:V22)</f>
        <v>611.45674537658692</v>
      </c>
    </row>
    <row r="23" spans="1:23" x14ac:dyDescent="0.25">
      <c r="A23" s="142"/>
      <c r="B23" s="177" t="s">
        <v>76</v>
      </c>
      <c r="C23" s="108"/>
      <c r="D23" s="151">
        <f t="shared" ref="D23:W23" si="21">+D21+D22</f>
        <v>1153.7000000000005</v>
      </c>
      <c r="E23" s="151">
        <f t="shared" si="21"/>
        <v>999.09999999999957</v>
      </c>
      <c r="F23" s="151">
        <f t="shared" si="21"/>
        <v>1246.600000000001</v>
      </c>
      <c r="G23" s="151">
        <f t="shared" si="21"/>
        <v>1160.6000000000013</v>
      </c>
      <c r="H23" s="253">
        <f t="shared" si="21"/>
        <v>4560.0000000000055</v>
      </c>
      <c r="I23" s="151">
        <f t="shared" si="21"/>
        <v>1291.3999999999987</v>
      </c>
      <c r="J23" s="151">
        <f t="shared" si="21"/>
        <v>554.19999999999902</v>
      </c>
      <c r="K23" s="151">
        <f t="shared" si="21"/>
        <v>-530.21999999999935</v>
      </c>
      <c r="L23" s="109">
        <f t="shared" si="21"/>
        <v>817.80000000000041</v>
      </c>
      <c r="M23" s="110">
        <f t="shared" si="21"/>
        <v>2133.1800000000044</v>
      </c>
      <c r="N23" s="151">
        <f t="shared" si="21"/>
        <v>1048.4000000000003</v>
      </c>
      <c r="O23" s="109">
        <f t="shared" si="21"/>
        <v>742.10719390300267</v>
      </c>
      <c r="P23" s="109">
        <f t="shared" si="21"/>
        <v>724.82219181466405</v>
      </c>
      <c r="Q23" s="109">
        <f t="shared" si="21"/>
        <v>1213.4513453443096</v>
      </c>
      <c r="R23" s="110">
        <f t="shared" si="21"/>
        <v>3728.7807310619733</v>
      </c>
      <c r="S23" s="109">
        <f t="shared" si="21"/>
        <v>1402.2338788838185</v>
      </c>
      <c r="T23" s="109">
        <f t="shared" si="21"/>
        <v>1122.8308342081582</v>
      </c>
      <c r="U23" s="109">
        <f t="shared" si="21"/>
        <v>846.21771972043166</v>
      </c>
      <c r="V23" s="109">
        <f t="shared" si="21"/>
        <v>1272.4917342748618</v>
      </c>
      <c r="W23" s="253">
        <f t="shared" si="21"/>
        <v>4643.7741670872711</v>
      </c>
    </row>
    <row r="24" spans="1:23" x14ac:dyDescent="0.25">
      <c r="A24" s="142"/>
      <c r="B24" s="49" t="s">
        <v>77</v>
      </c>
      <c r="C24" s="25"/>
      <c r="D24" s="148">
        <v>0</v>
      </c>
      <c r="E24" s="148">
        <v>21</v>
      </c>
      <c r="F24" s="148">
        <v>601.79999999999995</v>
      </c>
      <c r="G24" s="148">
        <f t="shared" ref="G24:G26" si="22">H24-F24-E24-D24</f>
        <v>0</v>
      </c>
      <c r="H24" s="246">
        <v>622.79999999999995</v>
      </c>
      <c r="I24" s="148">
        <v>0</v>
      </c>
      <c r="J24" s="148">
        <v>0</v>
      </c>
      <c r="K24" s="148">
        <v>0</v>
      </c>
      <c r="L24" s="148">
        <v>0</v>
      </c>
      <c r="M24" s="246">
        <f>SUM(I24:L24)</f>
        <v>0</v>
      </c>
      <c r="N24" s="148">
        <v>0</v>
      </c>
      <c r="O24" s="148">
        <v>0</v>
      </c>
      <c r="P24" s="148">
        <v>0</v>
      </c>
      <c r="Q24" s="148">
        <v>0</v>
      </c>
      <c r="R24" s="246">
        <f>SUM(N24:Q24)</f>
        <v>0</v>
      </c>
      <c r="S24" s="148">
        <v>0</v>
      </c>
      <c r="T24" s="148">
        <v>0</v>
      </c>
      <c r="U24" s="148">
        <v>0</v>
      </c>
      <c r="V24" s="148">
        <v>0</v>
      </c>
      <c r="W24" s="246">
        <f>SUM(S24:V24)</f>
        <v>0</v>
      </c>
    </row>
    <row r="25" spans="1:23" x14ac:dyDescent="0.25">
      <c r="A25" s="142"/>
      <c r="B25" s="49" t="s">
        <v>78</v>
      </c>
      <c r="C25" s="25"/>
      <c r="D25" s="148">
        <v>24.8</v>
      </c>
      <c r="E25" s="148">
        <v>15.2</v>
      </c>
      <c r="F25" s="145">
        <v>40.200000000000003</v>
      </c>
      <c r="G25" s="148">
        <f t="shared" si="22"/>
        <v>16.299999999999994</v>
      </c>
      <c r="H25" s="246">
        <v>96.5</v>
      </c>
      <c r="I25" s="148">
        <v>15.9</v>
      </c>
      <c r="J25" s="148">
        <v>2</v>
      </c>
      <c r="K25" s="148">
        <v>12.7</v>
      </c>
      <c r="L25" s="63">
        <v>9.1</v>
      </c>
      <c r="M25" s="64">
        <f t="shared" ref="M25" si="23">SUM(I25:L25)</f>
        <v>39.699999999999996</v>
      </c>
      <c r="N25" s="63">
        <v>15.5</v>
      </c>
      <c r="O25" s="125">
        <v>7.7238920556665196</v>
      </c>
      <c r="P25" s="125">
        <v>11.053566517664599</v>
      </c>
      <c r="Q25" s="125">
        <v>13.041188108540901</v>
      </c>
      <c r="R25" s="64">
        <f>SUM(N25:Q25)</f>
        <v>47.318646681872018</v>
      </c>
      <c r="S25" s="125">
        <v>12.6614676871262</v>
      </c>
      <c r="T25" s="125">
        <v>15.1285296796949</v>
      </c>
      <c r="U25" s="125">
        <v>27.528098681628599</v>
      </c>
      <c r="V25" s="125">
        <v>36.3010268915681</v>
      </c>
      <c r="W25" s="246">
        <f t="shared" ref="W25" si="24">SUM(S25:V25)</f>
        <v>91.619122940017803</v>
      </c>
    </row>
    <row r="26" spans="1:23" ht="17.25" x14ac:dyDescent="0.4">
      <c r="A26" s="142"/>
      <c r="B26" s="49" t="s">
        <v>79</v>
      </c>
      <c r="C26" s="48"/>
      <c r="D26" s="147">
        <v>-75</v>
      </c>
      <c r="E26" s="147">
        <v>-73.900000000000006</v>
      </c>
      <c r="F26" s="147">
        <v>-86.4</v>
      </c>
      <c r="G26" s="147">
        <f t="shared" si="22"/>
        <v>-95.699999999999989</v>
      </c>
      <c r="H26" s="249">
        <v>-331</v>
      </c>
      <c r="I26" s="147">
        <v>-91.9</v>
      </c>
      <c r="J26" s="147">
        <v>-99.2</v>
      </c>
      <c r="K26" s="147">
        <v>-120.8</v>
      </c>
      <c r="L26" s="67">
        <v>-125</v>
      </c>
      <c r="M26" s="249">
        <f t="shared" ref="M26" si="25">SUM(I26:L26)</f>
        <v>-436.90000000000003</v>
      </c>
      <c r="N26" s="67">
        <v>-120.7</v>
      </c>
      <c r="O26" s="71">
        <v>-117.67536777269601</v>
      </c>
      <c r="P26" s="71">
        <v>-113.003438164516</v>
      </c>
      <c r="Q26" s="71">
        <v>-120.88671826277501</v>
      </c>
      <c r="R26" s="249">
        <f t="shared" ref="R26" si="26">SUM(N26:Q26)</f>
        <v>-472.265524199987</v>
      </c>
      <c r="S26" s="71">
        <v>-122.23001202566201</v>
      </c>
      <c r="T26" s="71">
        <v>-125.68975474228699</v>
      </c>
      <c r="U26" s="71">
        <v>-128.647266046673</v>
      </c>
      <c r="V26" s="71">
        <v>-135.649537750626</v>
      </c>
      <c r="W26" s="249">
        <f t="shared" ref="W26" si="27">SUM(S26:V26)</f>
        <v>-512.21657056524805</v>
      </c>
    </row>
    <row r="27" spans="1:23" x14ac:dyDescent="0.25">
      <c r="A27" s="142"/>
      <c r="B27" s="314" t="s">
        <v>80</v>
      </c>
      <c r="C27" s="315"/>
      <c r="D27" s="146">
        <f t="shared" ref="D27:W27" si="28">D21+D25+D26+D24</f>
        <v>965.50000000000045</v>
      </c>
      <c r="E27" s="146">
        <f t="shared" si="28"/>
        <v>819.99999999999966</v>
      </c>
      <c r="F27" s="146">
        <f t="shared" si="28"/>
        <v>1676.900000000001</v>
      </c>
      <c r="G27" s="146">
        <f t="shared" si="28"/>
        <v>1003.8000000000011</v>
      </c>
      <c r="H27" s="247">
        <f t="shared" si="28"/>
        <v>4466.2000000000053</v>
      </c>
      <c r="I27" s="146">
        <f t="shared" si="28"/>
        <v>1143.7999999999988</v>
      </c>
      <c r="J27" s="146">
        <f t="shared" si="28"/>
        <v>390.19999999999908</v>
      </c>
      <c r="K27" s="146">
        <f t="shared" si="28"/>
        <v>-811.9999999999992</v>
      </c>
      <c r="L27" s="65">
        <f t="shared" si="28"/>
        <v>442.40000000000043</v>
      </c>
      <c r="M27" s="66">
        <f t="shared" si="28"/>
        <v>1164.4000000000044</v>
      </c>
      <c r="N27" s="65">
        <f t="shared" si="28"/>
        <v>808.30000000000018</v>
      </c>
      <c r="O27" s="65">
        <f>O21+O25+O26+O24</f>
        <v>451.63071818597319</v>
      </c>
      <c r="P27" s="65">
        <f>P21+P25+P26+P24</f>
        <v>485.96607016781269</v>
      </c>
      <c r="Q27" s="65">
        <f>Q21+Q25+Q26+Q24</f>
        <v>1089.6099637604345</v>
      </c>
      <c r="R27" s="66">
        <f t="shared" si="28"/>
        <v>2835.5067521142173</v>
      </c>
      <c r="S27" s="65">
        <f t="shared" si="28"/>
        <v>1151.1629517327826</v>
      </c>
      <c r="T27" s="65">
        <f t="shared" si="28"/>
        <v>862.0294284815036</v>
      </c>
      <c r="U27" s="65">
        <f t="shared" si="28"/>
        <v>584.42834910831698</v>
      </c>
      <c r="V27" s="65">
        <f t="shared" si="28"/>
        <v>1014.0992447628498</v>
      </c>
      <c r="W27" s="247">
        <f t="shared" si="28"/>
        <v>3611.7199740854539</v>
      </c>
    </row>
    <row r="28" spans="1:23" ht="17.25" x14ac:dyDescent="0.4">
      <c r="A28" s="142"/>
      <c r="B28" s="316" t="s">
        <v>81</v>
      </c>
      <c r="C28" s="317"/>
      <c r="D28" s="147">
        <v>205.1</v>
      </c>
      <c r="E28" s="147">
        <v>161.19999999999999</v>
      </c>
      <c r="F28" s="147">
        <v>303.7</v>
      </c>
      <c r="G28" s="147">
        <f t="shared" ref="G28" si="29">H28-F28-E28-D28</f>
        <v>201.60000000000011</v>
      </c>
      <c r="H28" s="249">
        <v>871.6</v>
      </c>
      <c r="I28" s="147">
        <v>258.5</v>
      </c>
      <c r="J28" s="147">
        <v>65.400000000000006</v>
      </c>
      <c r="K28" s="147">
        <v>-133.9</v>
      </c>
      <c r="L28" s="67">
        <v>49.7</v>
      </c>
      <c r="M28" s="68">
        <f>SUM(I28:L28)</f>
        <v>239.7</v>
      </c>
      <c r="N28" s="67">
        <v>186.1</v>
      </c>
      <c r="O28" s="67">
        <f>+O27*O149</f>
        <v>112.9076795464933</v>
      </c>
      <c r="P28" s="67">
        <f>+P27*P149</f>
        <v>123.92134789279224</v>
      </c>
      <c r="Q28" s="67">
        <f>+Q27*Q149</f>
        <v>288.74664039651515</v>
      </c>
      <c r="R28" s="68">
        <f>SUM(N28:Q28)</f>
        <v>711.67566783580071</v>
      </c>
      <c r="S28" s="67">
        <f>+S27*S149</f>
        <v>285.95866472971716</v>
      </c>
      <c r="T28" s="67">
        <f>+T27*T149</f>
        <v>218.05168288967326</v>
      </c>
      <c r="U28" s="67">
        <f>+U27*U149</f>
        <v>148.26330152541931</v>
      </c>
      <c r="V28" s="67">
        <f>+V27*V149</f>
        <v>256.93401202724732</v>
      </c>
      <c r="W28" s="249">
        <f>SUM(S28:V28)</f>
        <v>909.20766117205699</v>
      </c>
    </row>
    <row r="29" spans="1:23" x14ac:dyDescent="0.25">
      <c r="A29" s="179"/>
      <c r="B29" s="314" t="s">
        <v>82</v>
      </c>
      <c r="C29" s="315"/>
      <c r="D29" s="146">
        <f t="shared" ref="D29:W29" si="30">+D27-D28</f>
        <v>760.40000000000043</v>
      </c>
      <c r="E29" s="146">
        <f t="shared" si="30"/>
        <v>658.79999999999973</v>
      </c>
      <c r="F29" s="146">
        <f t="shared" si="30"/>
        <v>1373.200000000001</v>
      </c>
      <c r="G29" s="146">
        <f t="shared" si="30"/>
        <v>802.20000000000095</v>
      </c>
      <c r="H29" s="247">
        <f t="shared" si="30"/>
        <v>3594.6000000000054</v>
      </c>
      <c r="I29" s="146">
        <f t="shared" si="30"/>
        <v>885.29999999999882</v>
      </c>
      <c r="J29" s="146">
        <f t="shared" si="30"/>
        <v>324.79999999999905</v>
      </c>
      <c r="K29" s="146">
        <f t="shared" si="30"/>
        <v>-678.09999999999923</v>
      </c>
      <c r="L29" s="65">
        <f t="shared" si="30"/>
        <v>392.70000000000044</v>
      </c>
      <c r="M29" s="66">
        <f t="shared" si="30"/>
        <v>924.70000000000437</v>
      </c>
      <c r="N29" s="65">
        <f t="shared" si="30"/>
        <v>622.20000000000016</v>
      </c>
      <c r="O29" s="65">
        <f t="shared" si="30"/>
        <v>338.72303863947991</v>
      </c>
      <c r="P29" s="65">
        <f t="shared" si="30"/>
        <v>362.04472227502043</v>
      </c>
      <c r="Q29" s="65">
        <f t="shared" si="30"/>
        <v>800.86332336391933</v>
      </c>
      <c r="R29" s="66">
        <f t="shared" si="30"/>
        <v>2123.8310842784167</v>
      </c>
      <c r="S29" s="65">
        <f t="shared" si="30"/>
        <v>865.20428700306547</v>
      </c>
      <c r="T29" s="65">
        <f t="shared" si="30"/>
        <v>643.9777455918304</v>
      </c>
      <c r="U29" s="65">
        <f t="shared" si="30"/>
        <v>436.16504758289767</v>
      </c>
      <c r="V29" s="65">
        <f t="shared" si="30"/>
        <v>757.16523273560256</v>
      </c>
      <c r="W29" s="247">
        <f t="shared" si="30"/>
        <v>2702.5123129133972</v>
      </c>
    </row>
    <row r="30" spans="1:23" ht="17.25" x14ac:dyDescent="0.4">
      <c r="A30" s="179"/>
      <c r="B30" s="284" t="s">
        <v>83</v>
      </c>
      <c r="C30" s="278"/>
      <c r="D30" s="147">
        <v>-0.2</v>
      </c>
      <c r="E30" s="147">
        <v>-4.4000000000000004</v>
      </c>
      <c r="F30" s="147">
        <v>0.4</v>
      </c>
      <c r="G30" s="147">
        <f t="shared" ref="G30" si="31">H30-F30-E30-D30</f>
        <v>-0.39999999999999963</v>
      </c>
      <c r="H30" s="249">
        <v>-4.5999999999999996</v>
      </c>
      <c r="I30" s="147">
        <v>-0.4</v>
      </c>
      <c r="J30" s="147">
        <v>-3.6</v>
      </c>
      <c r="K30" s="147">
        <v>0.3</v>
      </c>
      <c r="L30" s="147">
        <v>0.1</v>
      </c>
      <c r="M30" s="249">
        <f>SUM(I30:L30)</f>
        <v>-3.6</v>
      </c>
      <c r="N30" s="147">
        <v>0</v>
      </c>
      <c r="O30" s="147">
        <f>AVERAGE(N30,L30,K30,J30)</f>
        <v>-0.8</v>
      </c>
      <c r="P30" s="147">
        <f>AVERAGE(O30,N30,L30,K30)</f>
        <v>-0.10000000000000002</v>
      </c>
      <c r="Q30" s="147">
        <f>AVERAGE(P30,O30,N30,L30)</f>
        <v>-0.2</v>
      </c>
      <c r="R30" s="249">
        <f>SUM(N30:Q30)</f>
        <v>-1.1000000000000001</v>
      </c>
      <c r="S30" s="147">
        <f>AVERAGE(Q30,P30,O30,N30)</f>
        <v>-0.27500000000000002</v>
      </c>
      <c r="T30" s="147">
        <f>AVERAGE(S30,Q30,P30,O30)</f>
        <v>-0.34375</v>
      </c>
      <c r="U30" s="147">
        <f>AVERAGE(T30,S30,Q30,P30)</f>
        <v>-0.22968750000000002</v>
      </c>
      <c r="V30" s="147">
        <f>AVERAGE(U30,T30,S30,Q30)</f>
        <v>-0.26210937500000003</v>
      </c>
      <c r="W30" s="249">
        <f>SUM(S30:V30)</f>
        <v>-1.110546875</v>
      </c>
    </row>
    <row r="31" spans="1:23" s="16" customFormat="1" x14ac:dyDescent="0.25">
      <c r="A31" s="194"/>
      <c r="B31" s="283" t="s">
        <v>84</v>
      </c>
      <c r="C31" s="240"/>
      <c r="D31" s="146">
        <f t="shared" ref="D31:W31" si="32">+D29-D30</f>
        <v>760.60000000000048</v>
      </c>
      <c r="E31" s="146">
        <f t="shared" si="32"/>
        <v>663.1999999999997</v>
      </c>
      <c r="F31" s="146">
        <f t="shared" si="32"/>
        <v>1372.8000000000009</v>
      </c>
      <c r="G31" s="146">
        <f t="shared" si="32"/>
        <v>802.60000000000093</v>
      </c>
      <c r="H31" s="247">
        <f t="shared" si="32"/>
        <v>3599.2000000000053</v>
      </c>
      <c r="I31" s="146">
        <f t="shared" si="32"/>
        <v>885.69999999999879</v>
      </c>
      <c r="J31" s="146">
        <f t="shared" si="32"/>
        <v>328.39999999999907</v>
      </c>
      <c r="K31" s="146">
        <f t="shared" si="32"/>
        <v>-678.39999999999918</v>
      </c>
      <c r="L31" s="65">
        <f t="shared" si="32"/>
        <v>392.60000000000042</v>
      </c>
      <c r="M31" s="66">
        <f t="shared" si="32"/>
        <v>928.30000000000439</v>
      </c>
      <c r="N31" s="65">
        <f t="shared" si="32"/>
        <v>622.20000000000016</v>
      </c>
      <c r="O31" s="65">
        <f t="shared" si="32"/>
        <v>339.52303863947992</v>
      </c>
      <c r="P31" s="65">
        <f t="shared" si="32"/>
        <v>362.14472227502046</v>
      </c>
      <c r="Q31" s="65">
        <f t="shared" si="32"/>
        <v>801.06332336391938</v>
      </c>
      <c r="R31" s="66">
        <f t="shared" si="32"/>
        <v>2124.9310842784166</v>
      </c>
      <c r="S31" s="65">
        <f t="shared" si="32"/>
        <v>865.47928700306545</v>
      </c>
      <c r="T31" s="65">
        <f t="shared" si="32"/>
        <v>644.3214955918304</v>
      </c>
      <c r="U31" s="65">
        <f t="shared" si="32"/>
        <v>436.39473508289768</v>
      </c>
      <c r="V31" s="65">
        <f t="shared" si="32"/>
        <v>757.42734211060258</v>
      </c>
      <c r="W31" s="247">
        <f t="shared" si="32"/>
        <v>2703.6228597883974</v>
      </c>
    </row>
    <row r="32" spans="1:23" s="16" customFormat="1" ht="17.25" x14ac:dyDescent="0.4">
      <c r="A32" s="194"/>
      <c r="B32" s="116" t="s">
        <v>85</v>
      </c>
      <c r="C32" s="113"/>
      <c r="D32" s="152">
        <f t="shared" ref="D32:V32" si="33">-D172-D173</f>
        <v>41.449999999998646</v>
      </c>
      <c r="E32" s="152">
        <f t="shared" si="33"/>
        <v>-54.179999999999545</v>
      </c>
      <c r="F32" s="152">
        <f t="shared" si="33"/>
        <v>-544.16000000000076</v>
      </c>
      <c r="G32" s="152">
        <f t="shared" si="33"/>
        <v>-30</v>
      </c>
      <c r="H32" s="254">
        <f>SUM(D32:G32)</f>
        <v>-586.89000000000169</v>
      </c>
      <c r="I32" s="152">
        <f t="shared" si="33"/>
        <v>-11</v>
      </c>
      <c r="J32" s="152">
        <f t="shared" si="33"/>
        <v>-23</v>
      </c>
      <c r="K32" s="152">
        <f t="shared" si="33"/>
        <v>-35.055</v>
      </c>
      <c r="L32" s="120">
        <f>-L172-L173</f>
        <v>-50.810000000000372</v>
      </c>
      <c r="M32" s="121">
        <f>SUM(I32:L32)</f>
        <v>-119.86500000000038</v>
      </c>
      <c r="N32" s="152">
        <f t="shared" si="33"/>
        <v>-35.49</v>
      </c>
      <c r="O32" s="120">
        <f t="shared" si="33"/>
        <v>-45.131250000000001</v>
      </c>
      <c r="P32" s="120">
        <f t="shared" si="33"/>
        <v>-34.2265625</v>
      </c>
      <c r="Q32" s="120">
        <f t="shared" si="33"/>
        <v>-3.9989628574102163</v>
      </c>
      <c r="R32" s="121">
        <f>SUM(N32:Q32)</f>
        <v>-118.84677535741022</v>
      </c>
      <c r="S32" s="120">
        <f t="shared" si="33"/>
        <v>-35.375595703124993</v>
      </c>
      <c r="T32" s="120">
        <f t="shared" si="33"/>
        <v>-37.56004516601562</v>
      </c>
      <c r="U32" s="120">
        <f t="shared" si="33"/>
        <v>-40.167550811767576</v>
      </c>
      <c r="V32" s="120">
        <f t="shared" si="33"/>
        <v>-39.76099466323852</v>
      </c>
      <c r="W32" s="254">
        <f>SUM(S32:V32)</f>
        <v>-152.86418634414673</v>
      </c>
    </row>
    <row r="33" spans="1:23" s="16" customFormat="1" x14ac:dyDescent="0.25">
      <c r="A33" s="194"/>
      <c r="B33" s="114" t="s">
        <v>86</v>
      </c>
      <c r="C33" s="115"/>
      <c r="D33" s="151">
        <f t="shared" ref="D33:W33" si="34">+D23+D24+D25+D26-D28-D30+D32</f>
        <v>940.04999999999916</v>
      </c>
      <c r="E33" s="151">
        <f t="shared" si="34"/>
        <v>750.42000000000007</v>
      </c>
      <c r="F33" s="151">
        <f t="shared" si="34"/>
        <v>953.94</v>
      </c>
      <c r="G33" s="151">
        <f t="shared" si="34"/>
        <v>850.00000000000102</v>
      </c>
      <c r="H33" s="253">
        <f t="shared" si="34"/>
        <v>3494.4100000000039</v>
      </c>
      <c r="I33" s="151">
        <f t="shared" si="34"/>
        <v>946.2999999999987</v>
      </c>
      <c r="J33" s="151">
        <f t="shared" si="34"/>
        <v>372.19999999999902</v>
      </c>
      <c r="K33" s="151">
        <f t="shared" si="34"/>
        <v>-539.7749999999993</v>
      </c>
      <c r="L33" s="109">
        <f>+L23+L24+L25+L26-L28-L30+L32</f>
        <v>601.29</v>
      </c>
      <c r="M33" s="110">
        <f t="shared" si="34"/>
        <v>1380.0150000000035</v>
      </c>
      <c r="N33" s="151">
        <f t="shared" si="34"/>
        <v>721.61000000000024</v>
      </c>
      <c r="O33" s="109">
        <f>+O23+O24+O25+O26-O28-O30+O32</f>
        <v>474.91678863947982</v>
      </c>
      <c r="P33" s="109">
        <f>+P23+P24+P25+P26-P28-P30+P32</f>
        <v>464.82440977502051</v>
      </c>
      <c r="Q33" s="109">
        <f>+Q23+Q24+Q25+Q26-Q28-Q30+Q32</f>
        <v>813.06021193615004</v>
      </c>
      <c r="R33" s="110">
        <f t="shared" si="34"/>
        <v>2474.4114103506477</v>
      </c>
      <c r="S33" s="109">
        <f t="shared" si="34"/>
        <v>971.60607411244041</v>
      </c>
      <c r="T33" s="109">
        <f t="shared" si="34"/>
        <v>757.00163108987715</v>
      </c>
      <c r="U33" s="109">
        <f t="shared" si="34"/>
        <v>556.89738751820028</v>
      </c>
      <c r="V33" s="109">
        <f t="shared" si="34"/>
        <v>876.71032610031818</v>
      </c>
      <c r="W33" s="253">
        <f t="shared" si="34"/>
        <v>3162.2154188208374</v>
      </c>
    </row>
    <row r="34" spans="1:23" x14ac:dyDescent="0.25">
      <c r="A34" s="142"/>
      <c r="B34" s="318" t="s">
        <v>87</v>
      </c>
      <c r="C34" s="319"/>
      <c r="D34" s="144">
        <v>1242</v>
      </c>
      <c r="E34" s="144">
        <v>1239.2</v>
      </c>
      <c r="F34" s="144">
        <v>1211</v>
      </c>
      <c r="G34" s="144">
        <v>1210.7904210526317</v>
      </c>
      <c r="H34" s="245">
        <v>1221.2</v>
      </c>
      <c r="I34" s="144">
        <v>1180.4000000000001</v>
      </c>
      <c r="J34" s="144">
        <v>1171.8</v>
      </c>
      <c r="K34" s="144">
        <v>1168.5</v>
      </c>
      <c r="L34" s="41">
        <v>1167.3874645009873</v>
      </c>
      <c r="M34" s="24">
        <f>+(I31/M31*I34)+(J31/M31*J34)+(K31/M31*K34)+(L31/M31*L34)</f>
        <v>1180.550811766758</v>
      </c>
      <c r="N34" s="144">
        <v>1175</v>
      </c>
      <c r="O34" s="23">
        <f>N34*(1+O152)-O156-O159-O162</f>
        <v>1158.2069037083579</v>
      </c>
      <c r="P34" s="23">
        <f>O34*(1+P152)-P156-P159-P162</f>
        <v>1141.6538142959162</v>
      </c>
      <c r="Q34" s="23">
        <f>P34*(1+Q152)-Q156-Q159-Q162</f>
        <v>1125.3373015851148</v>
      </c>
      <c r="R34" s="24">
        <f>+(N31/R31*N34)+(O31/R31*O34)+(P31/R31*P34)+(Q31/R31*Q34)</f>
        <v>1147.9117076279999</v>
      </c>
      <c r="S34" s="23">
        <f>Q34*(1+S152)-S156-S159-S162</f>
        <v>1108.3016034700995</v>
      </c>
      <c r="T34" s="23">
        <f>S34*(1+T152)-T156-T159-T162</f>
        <v>1091.5093794987783</v>
      </c>
      <c r="U34" s="23">
        <f>T34*(1+U152)-U156-U159-U162</f>
        <v>1074.9571499394583</v>
      </c>
      <c r="V34" s="23">
        <f>U34*(1+V152)-V156-V159-V162</f>
        <v>1058.6414847927604</v>
      </c>
      <c r="W34" s="245">
        <f>+(S31/W31*S34)+(T31/W31*T34)+(U31/W31*U34)+(V31/W31*V34)</f>
        <v>1085.0051343271705</v>
      </c>
    </row>
    <row r="35" spans="1:23" ht="15.75" customHeight="1" x14ac:dyDescent="0.25">
      <c r="A35" s="142"/>
      <c r="B35" s="318" t="s">
        <v>88</v>
      </c>
      <c r="C35" s="319"/>
      <c r="D35" s="144">
        <v>1253.4000000000001</v>
      </c>
      <c r="E35" s="144">
        <v>1250.7</v>
      </c>
      <c r="F35" s="144">
        <v>1223</v>
      </c>
      <c r="G35" s="144">
        <v>1222.8144210526316</v>
      </c>
      <c r="H35" s="245">
        <v>1233.2</v>
      </c>
      <c r="I35" s="144">
        <v>1191</v>
      </c>
      <c r="J35" s="144">
        <v>1180.7</v>
      </c>
      <c r="K35" s="144">
        <v>1168.5</v>
      </c>
      <c r="L35" s="144">
        <v>1179</v>
      </c>
      <c r="M35" s="24">
        <f>+(I31/M31*I35)+(J31/M31*J35)+(K31/M31*K35)+(L31/M31*L35)</f>
        <v>1198.7240978132002</v>
      </c>
      <c r="N35" s="144">
        <v>1183</v>
      </c>
      <c r="O35" s="23">
        <f>N35*(1+O153)-O156-O159-O162</f>
        <v>1166.0925677336063</v>
      </c>
      <c r="P35" s="23">
        <f>O35*(1+P153)-P156-P159-P162</f>
        <v>1149.4267764358033</v>
      </c>
      <c r="Q35" s="23">
        <f>P35*(1+Q153)-Q156-Q159-Q162</f>
        <v>1132.9991725746304</v>
      </c>
      <c r="R35" s="245">
        <f>+(N31/R31*N35)+(O31/R31*O35)+(P31/R31*P35)+(Q31/R31*Q35)</f>
        <v>1155.7272767012118</v>
      </c>
      <c r="S35" s="23">
        <f>Q35*(1+S153)-S156-S159-S162</f>
        <v>1115.8539710236141</v>
      </c>
      <c r="T35" s="23">
        <f>S35*(1+T153)-T156-T159-T162</f>
        <v>1098.9538086390539</v>
      </c>
      <c r="U35" s="23">
        <f>T35*(1+U153)-U156-U159-U162</f>
        <v>1082.2951833219561</v>
      </c>
      <c r="V35" s="23">
        <f>U35*(1+V153)-V156-V159-V162</f>
        <v>1065.8746430253148</v>
      </c>
      <c r="W35" s="245">
        <f>+(S31/W31*S35)+(T31/W31*T35)+(U31/W31*U35)+(V31/W31*V35)</f>
        <v>1092.4077549551048</v>
      </c>
    </row>
    <row r="36" spans="1:23" ht="15.75" customHeight="1" x14ac:dyDescent="0.25">
      <c r="A36" s="142"/>
      <c r="B36" s="296" t="s">
        <v>89</v>
      </c>
      <c r="C36" s="297"/>
      <c r="D36" s="153">
        <f t="shared" ref="D36:W36" si="35">D31/D34</f>
        <v>0.61239935587761718</v>
      </c>
      <c r="E36" s="153">
        <f t="shared" si="35"/>
        <v>0.53518398967075509</v>
      </c>
      <c r="F36" s="153">
        <f t="shared" si="35"/>
        <v>1.1336085879438487</v>
      </c>
      <c r="G36" s="153">
        <f t="shared" si="35"/>
        <v>0.66287276975832043</v>
      </c>
      <c r="H36" s="250">
        <f t="shared" si="35"/>
        <v>2.947264985260404</v>
      </c>
      <c r="I36" s="153">
        <f t="shared" si="35"/>
        <v>0.75033886818027684</v>
      </c>
      <c r="J36" s="153">
        <f t="shared" si="35"/>
        <v>0.28025260283324721</v>
      </c>
      <c r="K36" s="153">
        <f t="shared" si="35"/>
        <v>-0.58057338468121455</v>
      </c>
      <c r="L36" s="153">
        <f t="shared" si="35"/>
        <v>0.3363065065700544</v>
      </c>
      <c r="M36" s="32">
        <f t="shared" si="35"/>
        <v>0.78632786555858059</v>
      </c>
      <c r="N36" s="153">
        <f t="shared" si="35"/>
        <v>0.52953191489361717</v>
      </c>
      <c r="O36" s="31">
        <f t="shared" si="35"/>
        <v>0.29314541085223356</v>
      </c>
      <c r="P36" s="31">
        <f t="shared" si="35"/>
        <v>0.3172106270221357</v>
      </c>
      <c r="Q36" s="31">
        <f t="shared" si="35"/>
        <v>0.71184286012341969</v>
      </c>
      <c r="R36" s="32">
        <f t="shared" si="35"/>
        <v>1.8511276347806327</v>
      </c>
      <c r="S36" s="31">
        <f t="shared" si="35"/>
        <v>0.78090592334545417</v>
      </c>
      <c r="T36" s="31">
        <f t="shared" si="35"/>
        <v>0.59030321469862512</v>
      </c>
      <c r="U36" s="31">
        <f t="shared" si="35"/>
        <v>0.40596477274231396</v>
      </c>
      <c r="V36" s="31">
        <f t="shared" si="35"/>
        <v>0.71547105700177294</v>
      </c>
      <c r="W36" s="250">
        <f t="shared" si="35"/>
        <v>2.4918065124778956</v>
      </c>
    </row>
    <row r="37" spans="1:23" x14ac:dyDescent="0.25">
      <c r="A37" s="142"/>
      <c r="B37" s="296" t="s">
        <v>90</v>
      </c>
      <c r="C37" s="297"/>
      <c r="D37" s="153">
        <f t="shared" ref="D37:W37" si="36">D31/D35</f>
        <v>0.60682942396681061</v>
      </c>
      <c r="E37" s="153">
        <f t="shared" si="36"/>
        <v>0.53026305269049312</v>
      </c>
      <c r="F37" s="153">
        <f t="shared" si="36"/>
        <v>1.1224856909239582</v>
      </c>
      <c r="G37" s="153">
        <f t="shared" si="36"/>
        <v>0.65635470614510849</v>
      </c>
      <c r="H37" s="250">
        <f t="shared" si="36"/>
        <v>2.9185857930587131</v>
      </c>
      <c r="I37" s="153">
        <f t="shared" si="36"/>
        <v>0.74366078925272783</v>
      </c>
      <c r="J37" s="153">
        <f t="shared" si="36"/>
        <v>0.27814008638942922</v>
      </c>
      <c r="K37" s="153">
        <f t="shared" si="36"/>
        <v>-0.58057338468121455</v>
      </c>
      <c r="L37" s="153">
        <f t="shared" si="36"/>
        <v>0.3329940627650555</v>
      </c>
      <c r="M37" s="250">
        <f t="shared" si="36"/>
        <v>0.7744067226924668</v>
      </c>
      <c r="N37" s="153">
        <f t="shared" si="36"/>
        <v>0.52595097210481845</v>
      </c>
      <c r="O37" s="153">
        <f t="shared" si="36"/>
        <v>0.29116302430378233</v>
      </c>
      <c r="P37" s="153">
        <f t="shared" si="36"/>
        <v>0.31506550021218044</v>
      </c>
      <c r="Q37" s="153">
        <f t="shared" si="36"/>
        <v>0.70702904534659183</v>
      </c>
      <c r="R37" s="250">
        <f t="shared" si="36"/>
        <v>1.8386094428294535</v>
      </c>
      <c r="S37" s="31">
        <f t="shared" si="36"/>
        <v>0.77562056458797135</v>
      </c>
      <c r="T37" s="31">
        <f t="shared" si="36"/>
        <v>0.58630443839105406</v>
      </c>
      <c r="U37" s="31">
        <f t="shared" si="36"/>
        <v>0.40321230456135276</v>
      </c>
      <c r="V37" s="31">
        <f t="shared" si="36"/>
        <v>0.71061578119615099</v>
      </c>
      <c r="W37" s="250">
        <f t="shared" si="36"/>
        <v>2.4749209693220364</v>
      </c>
    </row>
    <row r="38" spans="1:23" x14ac:dyDescent="0.25">
      <c r="A38" s="142"/>
      <c r="B38" s="122" t="s">
        <v>91</v>
      </c>
      <c r="C38" s="143"/>
      <c r="D38" s="154">
        <f t="shared" ref="D38:W38" si="37">+D33/D35</f>
        <v>0.74999999999999922</v>
      </c>
      <c r="E38" s="154">
        <f t="shared" si="37"/>
        <v>0.60000000000000009</v>
      </c>
      <c r="F38" s="164">
        <f t="shared" si="37"/>
        <v>0.78</v>
      </c>
      <c r="G38" s="164">
        <f t="shared" si="37"/>
        <v>0.69511774261567683</v>
      </c>
      <c r="H38" s="248">
        <f t="shared" si="37"/>
        <v>2.8336117418099285</v>
      </c>
      <c r="I38" s="154">
        <f t="shared" si="37"/>
        <v>0.79454240134340781</v>
      </c>
      <c r="J38" s="154">
        <f t="shared" si="37"/>
        <v>0.31523672397730074</v>
      </c>
      <c r="K38" s="154">
        <f t="shared" si="37"/>
        <v>-0.46193838254171954</v>
      </c>
      <c r="L38" s="154">
        <f t="shared" si="37"/>
        <v>0.51</v>
      </c>
      <c r="M38" s="248">
        <f t="shared" si="37"/>
        <v>1.1512365543643674</v>
      </c>
      <c r="N38" s="154">
        <f t="shared" si="37"/>
        <v>0.60998309382924787</v>
      </c>
      <c r="O38" s="154">
        <f t="shared" si="37"/>
        <v>0.40727194545328282</v>
      </c>
      <c r="P38" s="154">
        <f t="shared" si="37"/>
        <v>0.40439671260867088</v>
      </c>
      <c r="Q38" s="154">
        <f t="shared" si="37"/>
        <v>0.71761765729144344</v>
      </c>
      <c r="R38" s="248">
        <f t="shared" si="37"/>
        <v>2.1409994037809259</v>
      </c>
      <c r="S38" s="154">
        <f t="shared" si="37"/>
        <v>0.87072869689315191</v>
      </c>
      <c r="T38" s="154">
        <f t="shared" si="37"/>
        <v>0.68883844356238155</v>
      </c>
      <c r="U38" s="154">
        <f t="shared" si="37"/>
        <v>0.51455221837805876</v>
      </c>
      <c r="V38" s="154">
        <f t="shared" si="37"/>
        <v>0.82252667500552978</v>
      </c>
      <c r="W38" s="248">
        <f t="shared" si="37"/>
        <v>2.8947207711380596</v>
      </c>
    </row>
    <row r="39" spans="1:23" x14ac:dyDescent="0.25">
      <c r="A39" s="142"/>
      <c r="B39" s="219" t="s">
        <v>92</v>
      </c>
      <c r="C39" s="220"/>
      <c r="D39" s="155">
        <v>0.36</v>
      </c>
      <c r="E39" s="155">
        <v>0.36</v>
      </c>
      <c r="F39" s="155">
        <v>0.36</v>
      </c>
      <c r="G39" s="155">
        <v>0.41</v>
      </c>
      <c r="H39" s="202">
        <f>+SUM(D39:G39)</f>
        <v>1.49</v>
      </c>
      <c r="I39" s="155">
        <v>0.41</v>
      </c>
      <c r="J39" s="155">
        <v>0.41</v>
      </c>
      <c r="K39" s="155">
        <v>0.41</v>
      </c>
      <c r="L39" s="155">
        <f>K39*1.1</f>
        <v>0.45100000000000001</v>
      </c>
      <c r="M39" s="58">
        <f>+SUM(I39:L39)</f>
        <v>1.681</v>
      </c>
      <c r="N39" s="155">
        <f>+L39</f>
        <v>0.45100000000000001</v>
      </c>
      <c r="O39" s="111">
        <f>+N39</f>
        <v>0.45100000000000001</v>
      </c>
      <c r="P39" s="111">
        <f>+O39</f>
        <v>0.45100000000000001</v>
      </c>
      <c r="Q39" s="111">
        <f>1*P39</f>
        <v>0.45100000000000001</v>
      </c>
      <c r="R39" s="58">
        <f>+SUM(N39:Q39)</f>
        <v>1.804</v>
      </c>
      <c r="S39" s="111">
        <f>+Q39</f>
        <v>0.45100000000000001</v>
      </c>
      <c r="T39" s="111">
        <f>+S39</f>
        <v>0.45100000000000001</v>
      </c>
      <c r="U39" s="111">
        <f>+T39</f>
        <v>0.45100000000000001</v>
      </c>
      <c r="V39" s="111">
        <f>1.05*U39</f>
        <v>0.47355000000000003</v>
      </c>
      <c r="W39" s="58">
        <f>+SUM(S39:V39)</f>
        <v>1.8265500000000001</v>
      </c>
    </row>
    <row r="40" spans="1:23" x14ac:dyDescent="0.25">
      <c r="A40" s="142"/>
      <c r="B40" s="257"/>
      <c r="C40" s="34"/>
      <c r="D40" s="203"/>
      <c r="E40" s="183"/>
      <c r="F40" s="182"/>
      <c r="G40" s="183"/>
      <c r="H40" s="184"/>
      <c r="I40" s="183"/>
      <c r="J40" s="185"/>
      <c r="K40" s="185"/>
      <c r="L40" s="203"/>
      <c r="M40" s="217"/>
      <c r="N40" s="174"/>
      <c r="O40" s="34"/>
      <c r="P40" s="34"/>
      <c r="Q40" s="112"/>
      <c r="R40" s="13"/>
      <c r="S40" s="34"/>
      <c r="T40" s="34"/>
      <c r="U40" s="34"/>
      <c r="V40" s="112"/>
      <c r="W40" s="13"/>
    </row>
    <row r="41" spans="1:23" ht="15.75" x14ac:dyDescent="0.25">
      <c r="A41" s="142"/>
      <c r="B41" s="288" t="s">
        <v>93</v>
      </c>
      <c r="C41" s="289"/>
      <c r="D41" s="20" t="s">
        <v>25</v>
      </c>
      <c r="E41" s="20" t="s">
        <v>26</v>
      </c>
      <c r="F41" s="20" t="s">
        <v>27</v>
      </c>
      <c r="G41" s="20" t="s">
        <v>28</v>
      </c>
      <c r="H41" s="50" t="s">
        <v>28</v>
      </c>
      <c r="I41" s="20" t="s">
        <v>29</v>
      </c>
      <c r="J41" s="20" t="s">
        <v>30</v>
      </c>
      <c r="K41" s="20" t="s">
        <v>31</v>
      </c>
      <c r="L41" s="20" t="s">
        <v>32</v>
      </c>
      <c r="M41" s="50" t="s">
        <v>32</v>
      </c>
      <c r="N41" s="20" t="s">
        <v>33</v>
      </c>
      <c r="O41" s="22" t="s">
        <v>34</v>
      </c>
      <c r="P41" s="22" t="s">
        <v>35</v>
      </c>
      <c r="Q41" s="22" t="s">
        <v>36</v>
      </c>
      <c r="R41" s="52" t="s">
        <v>36</v>
      </c>
      <c r="S41" s="22" t="s">
        <v>37</v>
      </c>
      <c r="T41" s="22" t="s">
        <v>38</v>
      </c>
      <c r="U41" s="22" t="s">
        <v>39</v>
      </c>
      <c r="V41" s="22" t="s">
        <v>40</v>
      </c>
      <c r="W41" s="52" t="s">
        <v>40</v>
      </c>
    </row>
    <row r="42" spans="1:23" ht="17.25" x14ac:dyDescent="0.4">
      <c r="A42" s="142"/>
      <c r="B42" s="290"/>
      <c r="C42" s="291"/>
      <c r="D42" s="21" t="s">
        <v>42</v>
      </c>
      <c r="E42" s="21" t="s">
        <v>43</v>
      </c>
      <c r="F42" s="21" t="s">
        <v>44</v>
      </c>
      <c r="G42" s="21" t="s">
        <v>45</v>
      </c>
      <c r="H42" s="51" t="s">
        <v>46</v>
      </c>
      <c r="I42" s="21" t="s">
        <v>47</v>
      </c>
      <c r="J42" s="21" t="s">
        <v>48</v>
      </c>
      <c r="K42" s="21" t="s">
        <v>49</v>
      </c>
      <c r="L42" s="21" t="s">
        <v>50</v>
      </c>
      <c r="M42" s="51" t="s">
        <v>51</v>
      </c>
      <c r="N42" s="21" t="s">
        <v>52</v>
      </c>
      <c r="O42" s="19" t="s">
        <v>53</v>
      </c>
      <c r="P42" s="19" t="s">
        <v>54</v>
      </c>
      <c r="Q42" s="19" t="s">
        <v>55</v>
      </c>
      <c r="R42" s="53" t="s">
        <v>56</v>
      </c>
      <c r="S42" s="19" t="s">
        <v>57</v>
      </c>
      <c r="T42" s="19" t="s">
        <v>58</v>
      </c>
      <c r="U42" s="19" t="s">
        <v>59</v>
      </c>
      <c r="V42" s="19" t="s">
        <v>60</v>
      </c>
      <c r="W42" s="53" t="s">
        <v>61</v>
      </c>
    </row>
    <row r="43" spans="1:23" ht="18" x14ac:dyDescent="0.4">
      <c r="A43" s="142"/>
      <c r="B43" s="306" t="s">
        <v>94</v>
      </c>
      <c r="C43" s="307"/>
      <c r="D43" s="21"/>
      <c r="E43" s="21"/>
      <c r="F43" s="21"/>
      <c r="G43" s="21"/>
      <c r="H43" s="51"/>
      <c r="I43" s="21"/>
      <c r="J43" s="21"/>
      <c r="K43" s="21"/>
      <c r="L43" s="21"/>
      <c r="M43" s="51"/>
      <c r="N43" s="21"/>
      <c r="O43" s="19"/>
      <c r="P43" s="19"/>
      <c r="Q43" s="19"/>
      <c r="R43" s="53"/>
      <c r="S43" s="19"/>
      <c r="T43" s="19"/>
      <c r="U43" s="19"/>
      <c r="V43" s="19"/>
      <c r="W43" s="53"/>
    </row>
    <row r="44" spans="1:23" s="16" customFormat="1" outlineLevel="1" x14ac:dyDescent="0.25">
      <c r="A44" s="156"/>
      <c r="B44" s="294" t="s">
        <v>95</v>
      </c>
      <c r="C44" s="295"/>
      <c r="D44" s="28">
        <v>9777</v>
      </c>
      <c r="E44" s="28">
        <v>9776</v>
      </c>
      <c r="F44" s="165">
        <v>9857</v>
      </c>
      <c r="G44" s="28">
        <v>9974</v>
      </c>
      <c r="H44" s="72"/>
      <c r="I44" s="28">
        <v>10020</v>
      </c>
      <c r="J44" s="28">
        <v>10051</v>
      </c>
      <c r="K44" s="28">
        <v>10017</v>
      </c>
      <c r="L44" s="28">
        <v>10109</v>
      </c>
      <c r="M44" s="72"/>
      <c r="N44" s="28">
        <v>10029</v>
      </c>
      <c r="O44" s="28">
        <f>+N44+O45</f>
        <v>10009</v>
      </c>
      <c r="P44" s="28">
        <f t="shared" ref="P44:Q44" si="38">+O44+P45</f>
        <v>10034</v>
      </c>
      <c r="Q44" s="28">
        <f t="shared" si="38"/>
        <v>10078</v>
      </c>
      <c r="R44" s="270">
        <f>Q44</f>
        <v>10078</v>
      </c>
      <c r="S44" s="28">
        <f>+Q44+S45</f>
        <v>10070.25</v>
      </c>
      <c r="T44" s="28">
        <f>+S44+T45</f>
        <v>10080.5625</v>
      </c>
      <c r="U44" s="28">
        <f t="shared" ref="U44:V44" si="39">+T44+U45</f>
        <v>10098.453125</v>
      </c>
      <c r="V44" s="28">
        <f t="shared" si="39"/>
        <v>10114.56640625</v>
      </c>
      <c r="W44" s="270">
        <f>V44</f>
        <v>10114.56640625</v>
      </c>
    </row>
    <row r="45" spans="1:23" outlineLevel="1" x14ac:dyDescent="0.25">
      <c r="A45" s="142"/>
      <c r="B45" s="256" t="s">
        <v>96</v>
      </c>
      <c r="C45" s="285"/>
      <c r="D45" s="144">
        <f>+D44-9690</f>
        <v>87</v>
      </c>
      <c r="E45" s="144">
        <f>E44-D44</f>
        <v>-1</v>
      </c>
      <c r="F45" s="144">
        <f t="shared" ref="F45:G45" si="40">F44-E44</f>
        <v>81</v>
      </c>
      <c r="G45" s="144">
        <f t="shared" si="40"/>
        <v>117</v>
      </c>
      <c r="H45" s="173">
        <f>+SUM(D45:G45)</f>
        <v>284</v>
      </c>
      <c r="I45" s="144">
        <f>I44-G44</f>
        <v>46</v>
      </c>
      <c r="J45" s="144">
        <f t="shared" ref="J45" si="41">J44-I44</f>
        <v>31</v>
      </c>
      <c r="K45" s="144">
        <f>K44-J44</f>
        <v>-34</v>
      </c>
      <c r="L45" s="144">
        <f>L44-K44</f>
        <v>92</v>
      </c>
      <c r="M45" s="173">
        <f>+SUM(I45:L45)</f>
        <v>135</v>
      </c>
      <c r="N45" s="144">
        <v>-80</v>
      </c>
      <c r="O45" s="41">
        <v>-20</v>
      </c>
      <c r="P45" s="41">
        <v>25</v>
      </c>
      <c r="Q45" s="41">
        <v>44</v>
      </c>
      <c r="R45" s="33">
        <f>+SUM(N45:Q45)</f>
        <v>-31</v>
      </c>
      <c r="S45" s="41">
        <f>AVERAGE(N45,O45,P45,Q45)</f>
        <v>-7.75</v>
      </c>
      <c r="T45" s="41">
        <f>AVERAGE(O45,P45,Q45,S45)</f>
        <v>10.3125</v>
      </c>
      <c r="U45" s="41">
        <f>AVERAGE(P45,Q45,S45,T45)</f>
        <v>17.890625</v>
      </c>
      <c r="V45" s="41">
        <f>AVERAGE(Q45,S45,T45,U45)</f>
        <v>16.11328125</v>
      </c>
      <c r="W45" s="33">
        <f>+SUM(S45:V45)</f>
        <v>36.56640625</v>
      </c>
    </row>
    <row r="46" spans="1:23" s="80" customFormat="1" outlineLevel="1" x14ac:dyDescent="0.25">
      <c r="A46" s="159"/>
      <c r="B46" s="81" t="s">
        <v>97</v>
      </c>
      <c r="C46" s="82"/>
      <c r="D46" s="84">
        <v>9527</v>
      </c>
      <c r="E46" s="84">
        <v>9499</v>
      </c>
      <c r="F46" s="84">
        <v>9594</v>
      </c>
      <c r="G46" s="84">
        <v>9690</v>
      </c>
      <c r="H46" s="85"/>
      <c r="I46" s="84">
        <f>D44</f>
        <v>9777</v>
      </c>
      <c r="J46" s="84">
        <f>E44</f>
        <v>9776</v>
      </c>
      <c r="K46" s="84">
        <f>F44</f>
        <v>9857</v>
      </c>
      <c r="L46" s="84">
        <f>G44</f>
        <v>9974</v>
      </c>
      <c r="M46" s="186"/>
      <c r="N46" s="84">
        <f>I44</f>
        <v>10020</v>
      </c>
      <c r="O46" s="84">
        <f>J44</f>
        <v>10051</v>
      </c>
      <c r="P46" s="84">
        <f>K44</f>
        <v>10017</v>
      </c>
      <c r="Q46" s="84">
        <f>L44</f>
        <v>10109</v>
      </c>
      <c r="R46" s="85"/>
      <c r="S46" s="84">
        <f>N44</f>
        <v>10029</v>
      </c>
      <c r="T46" s="84">
        <f>O44</f>
        <v>10009</v>
      </c>
      <c r="U46" s="84">
        <f>P44</f>
        <v>10034</v>
      </c>
      <c r="V46" s="84">
        <f>Q44</f>
        <v>10078</v>
      </c>
      <c r="W46" s="85"/>
    </row>
    <row r="47" spans="1:23" s="80" customFormat="1" outlineLevel="1" x14ac:dyDescent="0.25">
      <c r="A47" s="159"/>
      <c r="B47" s="81" t="s">
        <v>98</v>
      </c>
      <c r="C47" s="82"/>
      <c r="D47" s="86">
        <v>0.42069471068107506</v>
      </c>
      <c r="E47" s="86">
        <v>0.39562181698744753</v>
      </c>
      <c r="F47" s="86">
        <v>0.42259741164000009</v>
      </c>
      <c r="G47" s="86">
        <v>0.4146794606933184</v>
      </c>
      <c r="H47" s="213"/>
      <c r="I47" s="86">
        <v>0.44327906252530785</v>
      </c>
      <c r="J47" s="86">
        <f>+E47*(1+J50)</f>
        <v>0.38375316247782409</v>
      </c>
      <c r="K47" s="86">
        <f t="shared" ref="K47" si="42">+F47*(1+K50)</f>
        <v>0.24933247286760007</v>
      </c>
      <c r="L47" s="86">
        <f>+G47*(1+L50)</f>
        <v>0.37735830923091979</v>
      </c>
      <c r="M47" s="214"/>
      <c r="N47" s="86">
        <f>+I47*(1+N50)</f>
        <v>0.41668231877378936</v>
      </c>
      <c r="O47" s="86">
        <f>+J47*(1+O50)</f>
        <v>0.40211642145342003</v>
      </c>
      <c r="P47" s="86">
        <f t="shared" ref="P47:Q47" si="43">+K47*(1+P50)</f>
        <v>0.26335287439583804</v>
      </c>
      <c r="Q47" s="86">
        <f t="shared" si="43"/>
        <v>0.41010585264751309</v>
      </c>
      <c r="R47" s="85"/>
      <c r="S47" s="86">
        <f>+N47*(1+S50)</f>
        <v>0.45418372746343044</v>
      </c>
      <c r="T47" s="86">
        <f>+O47*(1+T50)</f>
        <v>0.43428573516969365</v>
      </c>
      <c r="U47" s="86">
        <f t="shared" ref="U47:V47" si="44">+P47*(1+U50)</f>
        <v>0.2896881618354219</v>
      </c>
      <c r="V47" s="86">
        <f t="shared" si="44"/>
        <v>0.43405521636844768</v>
      </c>
      <c r="W47" s="85"/>
    </row>
    <row r="48" spans="1:23" outlineLevel="1" x14ac:dyDescent="0.25">
      <c r="A48" s="142"/>
      <c r="B48" s="279" t="s">
        <v>99</v>
      </c>
      <c r="C48" s="280"/>
      <c r="D48" s="167">
        <v>0.04</v>
      </c>
      <c r="E48" s="167">
        <v>0</v>
      </c>
      <c r="F48" s="167">
        <v>0.03</v>
      </c>
      <c r="G48" s="167">
        <v>0.03</v>
      </c>
      <c r="H48" s="181"/>
      <c r="I48" s="167">
        <v>0.02</v>
      </c>
      <c r="J48" s="167">
        <v>-7.0000000000000007E-2</v>
      </c>
      <c r="K48" s="167">
        <v>-0.53</v>
      </c>
      <c r="L48" s="38">
        <v>-0.25</v>
      </c>
      <c r="M48" s="181"/>
      <c r="N48" s="167">
        <v>-0.21</v>
      </c>
      <c r="O48" s="38"/>
      <c r="P48" s="38"/>
      <c r="Q48" s="38"/>
      <c r="R48" s="36"/>
      <c r="S48" s="38"/>
      <c r="T48" s="38"/>
      <c r="U48" s="38"/>
      <c r="V48" s="38"/>
      <c r="W48" s="36"/>
    </row>
    <row r="49" spans="1:23" outlineLevel="1" x14ac:dyDescent="0.25">
      <c r="A49" s="142"/>
      <c r="B49" s="279" t="s">
        <v>100</v>
      </c>
      <c r="C49" s="280"/>
      <c r="D49" s="222">
        <v>0</v>
      </c>
      <c r="E49" s="222">
        <v>0.04</v>
      </c>
      <c r="F49" s="222">
        <v>0.04</v>
      </c>
      <c r="G49" s="222">
        <v>0.03</v>
      </c>
      <c r="H49" s="215"/>
      <c r="I49" s="222">
        <v>0.03</v>
      </c>
      <c r="J49" s="222">
        <v>0.05</v>
      </c>
      <c r="K49" s="222">
        <v>0.27</v>
      </c>
      <c r="L49" s="74">
        <v>0.21</v>
      </c>
      <c r="M49" s="215"/>
      <c r="N49" s="222">
        <v>0.2</v>
      </c>
      <c r="O49" s="274"/>
      <c r="P49" s="74"/>
      <c r="Q49" s="74"/>
      <c r="R49" s="75"/>
      <c r="S49" s="74"/>
      <c r="T49" s="74"/>
      <c r="U49" s="74"/>
      <c r="V49" s="74"/>
      <c r="W49" s="75"/>
    </row>
    <row r="50" spans="1:23" s="16" customFormat="1" outlineLevel="1" x14ac:dyDescent="0.25">
      <c r="A50" s="156"/>
      <c r="B50" s="241" t="s">
        <v>101</v>
      </c>
      <c r="C50" s="282"/>
      <c r="D50" s="223">
        <v>0.04</v>
      </c>
      <c r="E50" s="223">
        <v>4.2999999999999997E-2</v>
      </c>
      <c r="F50" s="224">
        <v>7.0000000000000007E-2</v>
      </c>
      <c r="G50" s="223">
        <v>0.06</v>
      </c>
      <c r="H50" s="192"/>
      <c r="I50" s="223">
        <v>0.06</v>
      </c>
      <c r="J50" s="223">
        <v>-0.03</v>
      </c>
      <c r="K50" s="223">
        <v>-0.41</v>
      </c>
      <c r="L50" s="229">
        <v>-0.09</v>
      </c>
      <c r="M50" s="216"/>
      <c r="N50" s="229">
        <v>-0.06</v>
      </c>
      <c r="O50" s="218">
        <v>4.7851746307516298E-2</v>
      </c>
      <c r="P50" s="78">
        <v>5.6231750990906999E-2</v>
      </c>
      <c r="Q50" s="78">
        <v>8.6781031755560997E-2</v>
      </c>
      <c r="R50" s="76"/>
      <c r="S50" s="78">
        <v>0.09</v>
      </c>
      <c r="T50" s="78">
        <v>0.08</v>
      </c>
      <c r="U50" s="78">
        <v>0.1</v>
      </c>
      <c r="V50" s="78">
        <v>5.8398005213349397E-2</v>
      </c>
      <c r="W50" s="76"/>
    </row>
    <row r="51" spans="1:23" ht="17.25" outlineLevel="1" x14ac:dyDescent="0.4">
      <c r="A51" s="142"/>
      <c r="B51" s="60" t="s">
        <v>102</v>
      </c>
      <c r="C51" s="280"/>
      <c r="D51" s="40">
        <v>84</v>
      </c>
      <c r="E51" s="40">
        <v>92</v>
      </c>
      <c r="F51" s="40">
        <v>128</v>
      </c>
      <c r="G51" s="40">
        <v>146</v>
      </c>
      <c r="H51" s="14"/>
      <c r="I51" s="40">
        <v>137</v>
      </c>
      <c r="J51" s="40">
        <v>112</v>
      </c>
      <c r="K51" s="40">
        <v>111</v>
      </c>
      <c r="L51" s="40">
        <v>112</v>
      </c>
      <c r="M51" s="14"/>
      <c r="N51" s="40">
        <v>110</v>
      </c>
      <c r="O51" s="40">
        <f>AVERAGE(N51,L51,K51,J51)</f>
        <v>111.25</v>
      </c>
      <c r="P51" s="40">
        <f>AVERAGE(O51,N51,L51,K51)</f>
        <v>111.0625</v>
      </c>
      <c r="Q51" s="40">
        <f>AVERAGE(P51,O51,N51,L51)</f>
        <v>111.078125</v>
      </c>
      <c r="R51" s="14"/>
      <c r="S51" s="40">
        <f>AVERAGE(Q51,P51,O51,N51)</f>
        <v>110.84765625</v>
      </c>
      <c r="T51" s="40">
        <f>AVERAGE(S51,Q51,P51,O51)</f>
        <v>111.0595703125</v>
      </c>
      <c r="U51" s="40">
        <f>AVERAGE(T51,S51,Q51,P51)</f>
        <v>111.011962890625</v>
      </c>
      <c r="V51" s="40">
        <f>AVERAGE(U51,T51,S51,Q51)</f>
        <v>110.99932861328125</v>
      </c>
      <c r="W51" s="14"/>
    </row>
    <row r="52" spans="1:23" s="16" customFormat="1" outlineLevel="1" x14ac:dyDescent="0.25">
      <c r="A52" s="156"/>
      <c r="B52" s="296" t="s">
        <v>103</v>
      </c>
      <c r="C52" s="297"/>
      <c r="D52" s="65">
        <v>4092.2</v>
      </c>
      <c r="E52" s="65">
        <v>3849.6</v>
      </c>
      <c r="F52" s="65">
        <v>4182.2</v>
      </c>
      <c r="G52" s="65">
        <v>4164.2</v>
      </c>
      <c r="H52" s="128">
        <f>SUM(D52:G52)</f>
        <v>16288.2</v>
      </c>
      <c r="I52" s="65">
        <v>4471</v>
      </c>
      <c r="J52" s="65">
        <v>3863.6</v>
      </c>
      <c r="K52" s="146">
        <v>2568.9</v>
      </c>
      <c r="L52" s="65">
        <v>3875.3</v>
      </c>
      <c r="M52" s="128">
        <f>SUM(I52:L52)</f>
        <v>14778.8</v>
      </c>
      <c r="N52" s="65">
        <v>4284.8</v>
      </c>
      <c r="O52" s="65">
        <f>+O46*O47+O51</f>
        <v>4152.9221520283245</v>
      </c>
      <c r="P52" s="65">
        <f t="shared" ref="P52:Q52" si="45">+P46*P47+P51</f>
        <v>2749.0682428231098</v>
      </c>
      <c r="Q52" s="65">
        <f t="shared" si="45"/>
        <v>4256.8381894137101</v>
      </c>
      <c r="R52" s="128">
        <f>SUM(N52:Q52)</f>
        <v>15443.628584265145</v>
      </c>
      <c r="S52" s="65">
        <f>+S46*S47+S51</f>
        <v>4665.8562589807443</v>
      </c>
      <c r="T52" s="65">
        <f>+T46*T47+T51</f>
        <v>4457.8254936259636</v>
      </c>
      <c r="U52" s="65">
        <f t="shared" ref="U52:V52" si="46">+U46*U47+U51</f>
        <v>3017.7429787472483</v>
      </c>
      <c r="V52" s="65">
        <f t="shared" si="46"/>
        <v>4485.4077991744971</v>
      </c>
      <c r="W52" s="128">
        <f>SUM(S52:V52)</f>
        <v>16626.832530528452</v>
      </c>
    </row>
    <row r="53" spans="1:23" s="16" customFormat="1" outlineLevel="1" x14ac:dyDescent="0.25">
      <c r="A53" s="156"/>
      <c r="B53" s="87" t="s">
        <v>104</v>
      </c>
      <c r="C53" s="282"/>
      <c r="D53" s="91">
        <f>+D52/D44</f>
        <v>0.41855374859363809</v>
      </c>
      <c r="E53" s="91">
        <f t="shared" ref="E53:G53" si="47">+E52/E44</f>
        <v>0.39378068739770866</v>
      </c>
      <c r="F53" s="91">
        <f t="shared" si="47"/>
        <v>0.42428730851171753</v>
      </c>
      <c r="G53" s="91">
        <f t="shared" si="47"/>
        <v>0.4175055143372769</v>
      </c>
      <c r="H53" s="77"/>
      <c r="I53" s="91">
        <f t="shared" ref="I53:L53" si="48">+I52/I44</f>
        <v>0.44620758483033934</v>
      </c>
      <c r="J53" s="91">
        <f t="shared" si="48"/>
        <v>0.38439956223261368</v>
      </c>
      <c r="K53" s="91">
        <f t="shared" si="48"/>
        <v>0.25645402815214136</v>
      </c>
      <c r="L53" s="91">
        <f t="shared" si="48"/>
        <v>0.38335146898803046</v>
      </c>
      <c r="M53" s="77"/>
      <c r="N53" s="91">
        <f t="shared" ref="N53:Q53" si="49">+N52/N44</f>
        <v>0.42724100109681923</v>
      </c>
      <c r="O53" s="91">
        <f t="shared" si="49"/>
        <v>0.41491878829336842</v>
      </c>
      <c r="P53" s="91">
        <f t="shared" si="49"/>
        <v>0.27397530823431432</v>
      </c>
      <c r="Q53" s="91">
        <f t="shared" si="49"/>
        <v>0.42238918331154102</v>
      </c>
      <c r="R53" s="77"/>
      <c r="S53" s="91">
        <f t="shared" ref="S53:V53" si="50">+S52/S44</f>
        <v>0.46333072753712612</v>
      </c>
      <c r="T53" s="91">
        <f t="shared" si="50"/>
        <v>0.44221991517100001</v>
      </c>
      <c r="U53" s="91">
        <f t="shared" si="50"/>
        <v>0.29883220146622685</v>
      </c>
      <c r="V53" s="91">
        <f t="shared" si="50"/>
        <v>0.44346021559588267</v>
      </c>
      <c r="W53" s="77"/>
    </row>
    <row r="54" spans="1:23" s="80" customFormat="1" outlineLevel="1" x14ac:dyDescent="0.25">
      <c r="A54" s="159"/>
      <c r="B54" s="87" t="s">
        <v>105</v>
      </c>
      <c r="C54" s="88"/>
      <c r="D54" s="83">
        <f>ROUND((+D52-D51-(D46*D47)),0)</f>
        <v>0</v>
      </c>
      <c r="E54" s="89">
        <f>ROUND((+E52-E51-(E46*E47)),0)</f>
        <v>0</v>
      </c>
      <c r="F54" s="160">
        <f>ROUND((+F52-F51-(F46*F47)),0)</f>
        <v>0</v>
      </c>
      <c r="G54" s="89">
        <f>ROUND((+G52-G51-(G46*G47)),0)</f>
        <v>0</v>
      </c>
      <c r="H54" s="90"/>
      <c r="I54" s="89">
        <f>ROUND((+I52-I51-(I46*I47)),0)</f>
        <v>0</v>
      </c>
      <c r="J54" s="89">
        <f>ROUND((+J52-J51-(J46*J47)),0)</f>
        <v>0</v>
      </c>
      <c r="K54" s="89">
        <f>ROUND((+K52-K51-(K46*K47)),0)</f>
        <v>0</v>
      </c>
      <c r="L54" s="89">
        <f>ROUND((+L52-L51-(L46*L47)),0)</f>
        <v>0</v>
      </c>
      <c r="M54" s="90"/>
      <c r="N54" s="89">
        <f>ROUND((+N52-N51-(N46*N47)),0)</f>
        <v>0</v>
      </c>
      <c r="O54" s="89">
        <f>ROUND((+O52-O51-(O46*O47)),0)</f>
        <v>0</v>
      </c>
      <c r="P54" s="89">
        <f>ROUND((+P52-P51-(P46*P47)),0)</f>
        <v>0</v>
      </c>
      <c r="Q54" s="89">
        <f>ROUND((+Q52-Q51-(Q46*Q47)),0)</f>
        <v>0</v>
      </c>
      <c r="R54" s="90"/>
      <c r="S54" s="89">
        <f>ROUND((+S52-S51-(S46*S47)),0)</f>
        <v>0</v>
      </c>
      <c r="T54" s="89">
        <f>ROUND((+T52-T51-(T46*T47)),0)</f>
        <v>0</v>
      </c>
      <c r="U54" s="89">
        <f>ROUND((+U52-U51-(U46*U47)),0)</f>
        <v>0</v>
      </c>
      <c r="V54" s="89">
        <f>ROUND((+V52-V51-(V46*V47)),0)</f>
        <v>0</v>
      </c>
      <c r="W54" s="90"/>
    </row>
    <row r="55" spans="1:23" s="16" customFormat="1" outlineLevel="1" x14ac:dyDescent="0.25">
      <c r="A55" s="156"/>
      <c r="B55" s="320" t="s">
        <v>106</v>
      </c>
      <c r="C55" s="321"/>
      <c r="D55" s="92">
        <v>7876</v>
      </c>
      <c r="E55" s="92">
        <v>7943</v>
      </c>
      <c r="F55" s="166">
        <v>7996</v>
      </c>
      <c r="G55" s="92">
        <v>8093</v>
      </c>
      <c r="H55" s="93"/>
      <c r="I55" s="92">
        <v>8183</v>
      </c>
      <c r="J55" s="92">
        <v>8220</v>
      </c>
      <c r="K55" s="92">
        <v>8218</v>
      </c>
      <c r="L55" s="92">
        <v>8245</v>
      </c>
      <c r="M55" s="93"/>
      <c r="N55" s="92">
        <v>8279</v>
      </c>
      <c r="O55" s="92">
        <f>+N55+O56</f>
        <v>8290</v>
      </c>
      <c r="P55" s="92">
        <f t="shared" ref="P55:Q55" si="51">+O55+P56</f>
        <v>8311</v>
      </c>
      <c r="Q55" s="92">
        <f t="shared" si="51"/>
        <v>8337</v>
      </c>
      <c r="R55" s="271">
        <f>Q55</f>
        <v>8337</v>
      </c>
      <c r="S55" s="92">
        <f>+Q55+S56</f>
        <v>8360</v>
      </c>
      <c r="T55" s="92">
        <f>+S55+T56</f>
        <v>8380.25</v>
      </c>
      <c r="U55" s="92">
        <f t="shared" ref="U55:V55" si="52">+T55+U56</f>
        <v>8402.8125</v>
      </c>
      <c r="V55" s="92">
        <f t="shared" si="52"/>
        <v>8425.765625</v>
      </c>
      <c r="W55" s="271">
        <f>V55</f>
        <v>8425.765625</v>
      </c>
    </row>
    <row r="56" spans="1:23" outlineLevel="1" x14ac:dyDescent="0.25">
      <c r="A56" s="142"/>
      <c r="B56" s="256" t="s">
        <v>107</v>
      </c>
      <c r="C56" s="285"/>
      <c r="D56" s="144">
        <f>+D55-7770</f>
        <v>106</v>
      </c>
      <c r="E56" s="144">
        <f>E55-D55</f>
        <v>67</v>
      </c>
      <c r="F56" s="144">
        <f t="shared" ref="F56:G56" si="53">F55-E55</f>
        <v>53</v>
      </c>
      <c r="G56" s="144">
        <f t="shared" si="53"/>
        <v>97</v>
      </c>
      <c r="H56" s="173">
        <f>+SUM(D56:G56)</f>
        <v>323</v>
      </c>
      <c r="I56" s="144">
        <f>I55-G55</f>
        <v>90</v>
      </c>
      <c r="J56" s="144">
        <f t="shared" ref="J56:L56" si="54">J55-I55</f>
        <v>37</v>
      </c>
      <c r="K56" s="144">
        <f t="shared" si="54"/>
        <v>-2</v>
      </c>
      <c r="L56" s="144">
        <f t="shared" si="54"/>
        <v>27</v>
      </c>
      <c r="M56" s="173">
        <f>+SUM(I56:L56)</f>
        <v>152</v>
      </c>
      <c r="N56" s="144">
        <v>34</v>
      </c>
      <c r="O56" s="41">
        <v>11</v>
      </c>
      <c r="P56" s="41">
        <v>21</v>
      </c>
      <c r="Q56" s="41">
        <v>26</v>
      </c>
      <c r="R56" s="33">
        <f>+SUM(N56:Q56)</f>
        <v>92</v>
      </c>
      <c r="S56" s="41">
        <f>AVERAGE(N56,O56,P56,Q56)</f>
        <v>23</v>
      </c>
      <c r="T56" s="41">
        <f>AVERAGE(O56,P56,Q56,S56)</f>
        <v>20.25</v>
      </c>
      <c r="U56" s="41">
        <f>AVERAGE(P56,Q56,S56,T56)</f>
        <v>22.5625</v>
      </c>
      <c r="V56" s="41">
        <f>AVERAGE(Q56,S56,T56,U56)</f>
        <v>22.953125</v>
      </c>
      <c r="W56" s="33">
        <f>+SUM(S56:V56)</f>
        <v>88.765625</v>
      </c>
    </row>
    <row r="57" spans="1:23" outlineLevel="1" x14ac:dyDescent="0.25">
      <c r="A57" s="142"/>
      <c r="B57" s="279" t="s">
        <v>108</v>
      </c>
      <c r="C57" s="278"/>
      <c r="D57" s="23">
        <f>AVERAGE(D55,7770)</f>
        <v>7823</v>
      </c>
      <c r="E57" s="23">
        <f>AVERAGE(E55,D55)</f>
        <v>7909.5</v>
      </c>
      <c r="F57" s="23">
        <f t="shared" ref="F57:G57" si="55">AVERAGE(F55,E55)</f>
        <v>7969.5</v>
      </c>
      <c r="G57" s="23">
        <f t="shared" si="55"/>
        <v>8044.5</v>
      </c>
      <c r="H57" s="33"/>
      <c r="I57" s="23">
        <f>AVERAGE(I55,G55)</f>
        <v>8138</v>
      </c>
      <c r="J57" s="23">
        <f>AVERAGE(J55,I55)</f>
        <v>8201.5</v>
      </c>
      <c r="K57" s="23">
        <f t="shared" ref="K57:L57" si="56">AVERAGE(K55,J55)</f>
        <v>8219</v>
      </c>
      <c r="L57" s="23">
        <f t="shared" si="56"/>
        <v>8231.5</v>
      </c>
      <c r="M57" s="14"/>
      <c r="N57" s="23">
        <f>AVERAGE(N55,L55)</f>
        <v>8262</v>
      </c>
      <c r="O57" s="23">
        <f>AVERAGE(O55,N55)</f>
        <v>8284.5</v>
      </c>
      <c r="P57" s="23">
        <f t="shared" ref="P57:Q57" si="57">AVERAGE(P55,O55)</f>
        <v>8300.5</v>
      </c>
      <c r="Q57" s="23">
        <f t="shared" si="57"/>
        <v>8324</v>
      </c>
      <c r="R57" s="14"/>
      <c r="S57" s="23">
        <f>AVERAGE(S55,Q55)</f>
        <v>8348.5</v>
      </c>
      <c r="T57" s="23">
        <f>AVERAGE(T55,S55)</f>
        <v>8370.125</v>
      </c>
      <c r="U57" s="23">
        <f t="shared" ref="U57:V57" si="58">AVERAGE(U55,T55)</f>
        <v>8391.53125</v>
      </c>
      <c r="V57" s="23">
        <f t="shared" si="58"/>
        <v>8414.2890625</v>
      </c>
      <c r="W57" s="14"/>
    </row>
    <row r="58" spans="1:23" outlineLevel="1" x14ac:dyDescent="0.25">
      <c r="A58" s="142"/>
      <c r="B58" s="279" t="s">
        <v>109</v>
      </c>
      <c r="C58" s="278"/>
      <c r="D58" s="55">
        <f>+D59/D57</f>
        <v>6.5780391154288645E-2</v>
      </c>
      <c r="E58" s="55">
        <f>+E59/E57</f>
        <v>5.8549845122953414E-2</v>
      </c>
      <c r="F58" s="55">
        <f>+F59/F57</f>
        <v>6.2274923144488362E-2</v>
      </c>
      <c r="G58" s="162">
        <f t="shared" ref="G58:N58" si="59">+G59/G57</f>
        <v>6.016533034992852E-2</v>
      </c>
      <c r="H58" s="180"/>
      <c r="I58" s="162">
        <f t="shared" si="59"/>
        <v>6.6023593020398133E-2</v>
      </c>
      <c r="J58" s="162">
        <f t="shared" si="59"/>
        <v>5.6599402548314331E-2</v>
      </c>
      <c r="K58" s="162">
        <f t="shared" si="59"/>
        <v>2.8653120817617714E-2</v>
      </c>
      <c r="L58" s="162">
        <f t="shared" si="59"/>
        <v>4.3236348174694766E-2</v>
      </c>
      <c r="M58" s="14"/>
      <c r="N58" s="162">
        <f t="shared" si="59"/>
        <v>5.037521181312031E-2</v>
      </c>
      <c r="O58" s="79">
        <v>4.4999999999999998E-2</v>
      </c>
      <c r="P58" s="79">
        <v>5.5E-2</v>
      </c>
      <c r="Q58" s="79">
        <v>0.06</v>
      </c>
      <c r="R58" s="14"/>
      <c r="S58" s="79">
        <v>6.5000000000000002E-2</v>
      </c>
      <c r="T58" s="79">
        <f>+O58*(1+2%)</f>
        <v>4.5899999999999996E-2</v>
      </c>
      <c r="U58" s="79">
        <f>+P58*(1+2%)</f>
        <v>5.6100000000000004E-2</v>
      </c>
      <c r="V58" s="79">
        <f>+Q58*(1+2%)</f>
        <v>6.1199999999999997E-2</v>
      </c>
      <c r="W58" s="14"/>
    </row>
    <row r="59" spans="1:23" s="16" customFormat="1" outlineLevel="1" x14ac:dyDescent="0.25">
      <c r="A59" s="156"/>
      <c r="B59" s="322" t="s">
        <v>110</v>
      </c>
      <c r="C59" s="323"/>
      <c r="D59" s="163">
        <v>514.6</v>
      </c>
      <c r="E59" s="163">
        <v>463.1</v>
      </c>
      <c r="F59" s="163">
        <v>496.3</v>
      </c>
      <c r="G59" s="163">
        <v>484</v>
      </c>
      <c r="H59" s="225"/>
      <c r="I59" s="163">
        <v>537.29999999999995</v>
      </c>
      <c r="J59" s="163">
        <v>464.2</v>
      </c>
      <c r="K59" s="163">
        <v>235.5</v>
      </c>
      <c r="L59" s="97">
        <v>355.9</v>
      </c>
      <c r="M59" s="98"/>
      <c r="N59" s="97">
        <v>416.2</v>
      </c>
      <c r="O59" s="97">
        <f>+O57*O58</f>
        <v>372.80250000000001</v>
      </c>
      <c r="P59" s="97">
        <f t="shared" ref="P59:Q59" si="60">+P57*P58</f>
        <v>456.52749999999997</v>
      </c>
      <c r="Q59" s="97">
        <f t="shared" si="60"/>
        <v>499.44</v>
      </c>
      <c r="R59" s="99">
        <f>SUM(N59:Q59)</f>
        <v>1744.97</v>
      </c>
      <c r="S59" s="97">
        <f>+S57*S58</f>
        <v>542.65250000000003</v>
      </c>
      <c r="T59" s="97">
        <f>+T57*T58</f>
        <v>384.18873749999995</v>
      </c>
      <c r="U59" s="97">
        <f t="shared" ref="U59:V59" si="61">+U57*U58</f>
        <v>470.76490312500005</v>
      </c>
      <c r="V59" s="97">
        <f t="shared" si="61"/>
        <v>514.95449062499995</v>
      </c>
      <c r="W59" s="99">
        <f>SUM(S59:V59)</f>
        <v>1912.5606312499999</v>
      </c>
    </row>
    <row r="60" spans="1:23" s="16" customFormat="1" outlineLevel="1" x14ac:dyDescent="0.25">
      <c r="A60" s="156"/>
      <c r="B60" s="296" t="s">
        <v>111</v>
      </c>
      <c r="C60" s="297"/>
      <c r="D60" s="146">
        <v>5.7</v>
      </c>
      <c r="E60" s="146">
        <v>1.4</v>
      </c>
      <c r="F60" s="146">
        <v>2.6</v>
      </c>
      <c r="G60" s="146">
        <v>3.2</v>
      </c>
      <c r="H60" s="226"/>
      <c r="I60" s="146">
        <v>2.6</v>
      </c>
      <c r="J60" s="146">
        <v>2.2000000000000002</v>
      </c>
      <c r="K60" s="146">
        <v>1.1000000000000001</v>
      </c>
      <c r="L60" s="65">
        <v>1.7</v>
      </c>
      <c r="M60" s="72"/>
      <c r="N60" s="65">
        <v>2.2000000000000002</v>
      </c>
      <c r="O60" s="65">
        <f>+J60*(1+O61)</f>
        <v>2.75</v>
      </c>
      <c r="P60" s="65">
        <f>+K60*(1+P61)</f>
        <v>1.375</v>
      </c>
      <c r="Q60" s="65">
        <f t="shared" ref="Q60" si="62">+L60*(1+Q61)</f>
        <v>2.125</v>
      </c>
      <c r="R60" s="270">
        <f>SUM(N60:Q60)</f>
        <v>8.4499999999999993</v>
      </c>
      <c r="S60" s="65">
        <f>+N60*(1+S61)</f>
        <v>2.3100000000000005</v>
      </c>
      <c r="T60" s="65">
        <f>+O60*(1+T61)</f>
        <v>2.8875000000000002</v>
      </c>
      <c r="U60" s="65">
        <f>+P60*(1+U61)</f>
        <v>1.4437500000000001</v>
      </c>
      <c r="V60" s="65">
        <f t="shared" ref="V60" si="63">+Q60*(1+V61)</f>
        <v>2.2312500000000002</v>
      </c>
      <c r="W60" s="270">
        <f>SUM(S60:V60)</f>
        <v>8.8725000000000023</v>
      </c>
    </row>
    <row r="61" spans="1:23" outlineLevel="1" x14ac:dyDescent="0.25">
      <c r="A61" s="142"/>
      <c r="B61" s="94" t="s">
        <v>112</v>
      </c>
      <c r="C61" s="95"/>
      <c r="D61" s="171"/>
      <c r="E61" s="171"/>
      <c r="F61" s="171"/>
      <c r="G61" s="171"/>
      <c r="H61" s="227"/>
      <c r="I61" s="171">
        <f>I60/D60-1</f>
        <v>-0.54385964912280704</v>
      </c>
      <c r="J61" s="171">
        <f t="shared" ref="J61" si="64">J60/E60-1</f>
        <v>0.57142857142857162</v>
      </c>
      <c r="K61" s="171">
        <f>K60/F60-1</f>
        <v>-0.57692307692307687</v>
      </c>
      <c r="L61" s="171">
        <f>L60/G60-1</f>
        <v>-0.46875</v>
      </c>
      <c r="M61" s="73"/>
      <c r="N61" s="171">
        <f>N60/I60-1</f>
        <v>-0.15384615384615385</v>
      </c>
      <c r="O61" s="96">
        <v>0.25</v>
      </c>
      <c r="P61" s="96">
        <v>0.25</v>
      </c>
      <c r="Q61" s="96">
        <v>0.25</v>
      </c>
      <c r="R61" s="73"/>
      <c r="S61" s="96">
        <v>0.05</v>
      </c>
      <c r="T61" s="96">
        <v>0.05</v>
      </c>
      <c r="U61" s="96">
        <v>0.05</v>
      </c>
      <c r="V61" s="96">
        <v>0.05</v>
      </c>
      <c r="W61" s="73"/>
    </row>
    <row r="62" spans="1:23" outlineLevel="1" x14ac:dyDescent="0.25">
      <c r="A62" s="142"/>
      <c r="B62" s="279" t="s">
        <v>113</v>
      </c>
      <c r="C62" s="280"/>
      <c r="D62" s="144">
        <f t="shared" ref="D62:G63" si="65">+D55+D44</f>
        <v>17653</v>
      </c>
      <c r="E62" s="144">
        <f>+E55+E44</f>
        <v>17719</v>
      </c>
      <c r="F62" s="144">
        <f t="shared" si="65"/>
        <v>17853</v>
      </c>
      <c r="G62" s="144">
        <f t="shared" si="65"/>
        <v>18067</v>
      </c>
      <c r="H62" s="173"/>
      <c r="I62" s="144">
        <f>+I55+I44</f>
        <v>18203</v>
      </c>
      <c r="J62" s="144">
        <f t="shared" ref="J62:L63" si="66">+J55+J44</f>
        <v>18271</v>
      </c>
      <c r="K62" s="144">
        <f t="shared" si="66"/>
        <v>18235</v>
      </c>
      <c r="L62" s="23">
        <f t="shared" si="66"/>
        <v>18354</v>
      </c>
      <c r="M62" s="14"/>
      <c r="N62" s="23">
        <f>+N55+N44</f>
        <v>18308</v>
      </c>
      <c r="O62" s="23">
        <f t="shared" ref="O62:Q63" si="67">+O55+O44</f>
        <v>18299</v>
      </c>
      <c r="P62" s="23">
        <f t="shared" si="67"/>
        <v>18345</v>
      </c>
      <c r="Q62" s="23">
        <f t="shared" si="67"/>
        <v>18415</v>
      </c>
      <c r="R62" s="14"/>
      <c r="S62" s="23">
        <f>+S55+S44</f>
        <v>18430.25</v>
      </c>
      <c r="T62" s="23">
        <f t="shared" ref="T62:V63" si="68">+T55+T44</f>
        <v>18460.8125</v>
      </c>
      <c r="U62" s="23">
        <f t="shared" si="68"/>
        <v>18501.265625</v>
      </c>
      <c r="V62" s="23">
        <f t="shared" si="68"/>
        <v>18540.33203125</v>
      </c>
      <c r="W62" s="14"/>
    </row>
    <row r="63" spans="1:23" outlineLevel="1" x14ac:dyDescent="0.25">
      <c r="A63" s="142"/>
      <c r="B63" s="279" t="s">
        <v>114</v>
      </c>
      <c r="C63" s="280"/>
      <c r="D63" s="144">
        <f t="shared" si="65"/>
        <v>193</v>
      </c>
      <c r="E63" s="144">
        <f>+E56+E45</f>
        <v>66</v>
      </c>
      <c r="F63" s="144">
        <f t="shared" si="65"/>
        <v>134</v>
      </c>
      <c r="G63" s="144">
        <f t="shared" si="65"/>
        <v>214</v>
      </c>
      <c r="H63" s="173">
        <f>+H56+H45</f>
        <v>607</v>
      </c>
      <c r="I63" s="144">
        <f>+I56+I45</f>
        <v>136</v>
      </c>
      <c r="J63" s="144">
        <f t="shared" si="66"/>
        <v>68</v>
      </c>
      <c r="K63" s="144">
        <f t="shared" si="66"/>
        <v>-36</v>
      </c>
      <c r="L63" s="23">
        <f t="shared" si="66"/>
        <v>119</v>
      </c>
      <c r="M63" s="173">
        <f>+M56+M45</f>
        <v>287</v>
      </c>
      <c r="N63" s="23">
        <f>+N56+N45</f>
        <v>-46</v>
      </c>
      <c r="O63" s="23">
        <f t="shared" si="67"/>
        <v>-9</v>
      </c>
      <c r="P63" s="23">
        <f t="shared" si="67"/>
        <v>46</v>
      </c>
      <c r="Q63" s="23">
        <f t="shared" si="67"/>
        <v>70</v>
      </c>
      <c r="R63" s="173">
        <f>+R56+R45</f>
        <v>61</v>
      </c>
      <c r="S63" s="23">
        <f>+S56+S45</f>
        <v>15.25</v>
      </c>
      <c r="T63" s="23">
        <f t="shared" si="68"/>
        <v>30.5625</v>
      </c>
      <c r="U63" s="23">
        <f t="shared" si="68"/>
        <v>40.453125</v>
      </c>
      <c r="V63" s="23">
        <f t="shared" si="68"/>
        <v>39.06640625</v>
      </c>
      <c r="W63" s="173">
        <f>+W56+W45</f>
        <v>125.33203125</v>
      </c>
    </row>
    <row r="64" spans="1:23" outlineLevel="1" x14ac:dyDescent="0.25">
      <c r="A64" s="142"/>
      <c r="B64" s="324" t="s">
        <v>115</v>
      </c>
      <c r="C64" s="325"/>
      <c r="D64" s="163">
        <f t="shared" ref="D64:G64" si="69">+D60+D59+D52</f>
        <v>4612.5</v>
      </c>
      <c r="E64" s="163">
        <f t="shared" si="69"/>
        <v>4314.1000000000004</v>
      </c>
      <c r="F64" s="163">
        <f t="shared" si="69"/>
        <v>4681.0999999999995</v>
      </c>
      <c r="G64" s="163">
        <f t="shared" si="69"/>
        <v>4651.3999999999996</v>
      </c>
      <c r="H64" s="190">
        <f>SUM(D64:G64)</f>
        <v>18259.099999999999</v>
      </c>
      <c r="I64" s="163">
        <f>+I60+I59+I52</f>
        <v>5010.8999999999996</v>
      </c>
      <c r="J64" s="163">
        <f t="shared" ref="J64:L64" si="70">+J60+J59+J52</f>
        <v>4330</v>
      </c>
      <c r="K64" s="163">
        <f t="shared" si="70"/>
        <v>2805.5</v>
      </c>
      <c r="L64" s="97">
        <f t="shared" si="70"/>
        <v>4232.9000000000005</v>
      </c>
      <c r="M64" s="128">
        <f>SUM(I64:L64)</f>
        <v>16379.3</v>
      </c>
      <c r="N64" s="97">
        <f>+N60+N59+N52</f>
        <v>4703.2</v>
      </c>
      <c r="O64" s="97">
        <f t="shared" ref="O64:Q64" si="71">+O60+O59+O52</f>
        <v>4528.4746520283243</v>
      </c>
      <c r="P64" s="97">
        <f t="shared" si="71"/>
        <v>3206.97074282311</v>
      </c>
      <c r="Q64" s="97">
        <f t="shared" si="71"/>
        <v>4758.4031894137097</v>
      </c>
      <c r="R64" s="128">
        <f>SUM(N64:Q64)</f>
        <v>17197.048584265143</v>
      </c>
      <c r="S64" s="97">
        <f>+S60+S59+S52</f>
        <v>5210.818758980744</v>
      </c>
      <c r="T64" s="97">
        <f t="shared" ref="T64:V64" si="72">+T60+T59+T52</f>
        <v>4844.9017311259631</v>
      </c>
      <c r="U64" s="97">
        <f t="shared" si="72"/>
        <v>3489.9516318722485</v>
      </c>
      <c r="V64" s="97">
        <f t="shared" si="72"/>
        <v>5002.5935397994972</v>
      </c>
      <c r="W64" s="128">
        <f>SUM(S64:V64)</f>
        <v>18548.265661778452</v>
      </c>
    </row>
    <row r="65" spans="1:23" outlineLevel="1" x14ac:dyDescent="0.25">
      <c r="A65" s="142"/>
      <c r="B65" s="326" t="s">
        <v>66</v>
      </c>
      <c r="C65" s="327"/>
      <c r="D65" s="148">
        <v>1351.3</v>
      </c>
      <c r="E65" s="148">
        <v>1220.5</v>
      </c>
      <c r="F65" s="148">
        <v>1324</v>
      </c>
      <c r="G65" s="148">
        <v>1278.9000000000001</v>
      </c>
      <c r="H65" s="187"/>
      <c r="I65" s="148">
        <v>1388.4</v>
      </c>
      <c r="J65" s="148">
        <v>1248.2</v>
      </c>
      <c r="K65" s="148">
        <v>805.6</v>
      </c>
      <c r="L65" s="63">
        <v>1169.4000000000001</v>
      </c>
      <c r="M65" s="104"/>
      <c r="N65" s="63">
        <v>1276.2</v>
      </c>
      <c r="O65" s="63">
        <f>O66*O64</f>
        <v>1314.2227140254238</v>
      </c>
      <c r="P65" s="63">
        <f t="shared" ref="P65:V65" si="73">P66*P64</f>
        <v>864.02020686329138</v>
      </c>
      <c r="Q65" s="63">
        <f t="shared" si="73"/>
        <v>1149.8282421301178</v>
      </c>
      <c r="R65" s="104">
        <f>SUM(N65:Q65)</f>
        <v>4604.2711630188332</v>
      </c>
      <c r="S65" s="63">
        <f>S66*S64</f>
        <v>1259.1506720210691</v>
      </c>
      <c r="T65" s="63">
        <f t="shared" si="73"/>
        <v>1170.7298896376451</v>
      </c>
      <c r="U65" s="63">
        <f t="shared" si="73"/>
        <v>843.31755638580773</v>
      </c>
      <c r="V65" s="63">
        <f t="shared" si="73"/>
        <v>1208.8347933097</v>
      </c>
      <c r="W65" s="104">
        <f>SUM(S65:V65)</f>
        <v>4482.0329113542221</v>
      </c>
    </row>
    <row r="66" spans="1:23" s="264" customFormat="1" outlineLevel="1" x14ac:dyDescent="0.25">
      <c r="A66" s="262"/>
      <c r="B66" s="258" t="s">
        <v>116</v>
      </c>
      <c r="C66" s="263"/>
      <c r="D66" s="243">
        <f>D65/D64</f>
        <v>0.29296476964769647</v>
      </c>
      <c r="E66" s="243">
        <f t="shared" ref="E66:N66" si="74">E65/E64</f>
        <v>0.28290952921814511</v>
      </c>
      <c r="F66" s="243">
        <f t="shared" si="74"/>
        <v>0.28283950353549381</v>
      </c>
      <c r="G66" s="243">
        <f t="shared" si="74"/>
        <v>0.27494947757664362</v>
      </c>
      <c r="H66" s="265"/>
      <c r="I66" s="243">
        <f t="shared" si="74"/>
        <v>0.27707597437586068</v>
      </c>
      <c r="J66" s="243">
        <f t="shared" si="74"/>
        <v>0.28826789838337186</v>
      </c>
      <c r="K66" s="243">
        <f t="shared" si="74"/>
        <v>0.28715024059882377</v>
      </c>
      <c r="L66" s="266">
        <f t="shared" si="74"/>
        <v>0.27626449951569843</v>
      </c>
      <c r="M66" s="267"/>
      <c r="N66" s="266">
        <f t="shared" si="74"/>
        <v>0.27134716788569485</v>
      </c>
      <c r="O66" s="268">
        <v>0.29021311037631126</v>
      </c>
      <c r="P66" s="268">
        <v>0.26941942292329452</v>
      </c>
      <c r="Q66" s="268">
        <v>0.24164161723163899</v>
      </c>
      <c r="R66" s="267">
        <f t="shared" ref="R66" si="75">R65/R64</f>
        <v>0.26773612579263295</v>
      </c>
      <c r="S66" s="268">
        <f>Q66</f>
        <v>0.24164161723163899</v>
      </c>
      <c r="T66" s="268">
        <f>S66</f>
        <v>0.24164161723163899</v>
      </c>
      <c r="U66" s="268">
        <f>T66</f>
        <v>0.24164161723163899</v>
      </c>
      <c r="V66" s="268">
        <f>U66</f>
        <v>0.24164161723163899</v>
      </c>
      <c r="W66" s="267">
        <f t="shared" ref="W66" si="76">W65/W64</f>
        <v>0.24164161723163899</v>
      </c>
    </row>
    <row r="67" spans="1:23" outlineLevel="1" x14ac:dyDescent="0.25">
      <c r="A67" s="142"/>
      <c r="B67" s="279" t="s">
        <v>67</v>
      </c>
      <c r="C67" s="25"/>
      <c r="D67" s="63">
        <v>1983.1</v>
      </c>
      <c r="E67" s="63">
        <v>1935.7</v>
      </c>
      <c r="F67" s="63">
        <v>2034</v>
      </c>
      <c r="G67" s="63">
        <v>2112.1</v>
      </c>
      <c r="H67" s="64"/>
      <c r="I67" s="63">
        <v>2214.4</v>
      </c>
      <c r="J67" s="63">
        <v>2158.6</v>
      </c>
      <c r="K67" s="63">
        <v>2054.4</v>
      </c>
      <c r="L67" s="63">
        <v>2060.6</v>
      </c>
      <c r="M67" s="235"/>
      <c r="N67" s="63">
        <v>2238.8000000000002</v>
      </c>
      <c r="O67" s="63">
        <f>O68*O52</f>
        <v>2201.0487405750123</v>
      </c>
      <c r="P67" s="63">
        <f t="shared" ref="P67:Q67" si="77">P68*P52</f>
        <v>1413.0210768110785</v>
      </c>
      <c r="Q67" s="63">
        <f t="shared" si="77"/>
        <v>2107.1349037597865</v>
      </c>
      <c r="R67" s="64">
        <f>SUM(N67:Q67)</f>
        <v>7960.0047211458777</v>
      </c>
      <c r="S67" s="63">
        <f>S68*S52</f>
        <v>2355.7908251593781</v>
      </c>
      <c r="T67" s="63">
        <f>T68*T52</f>
        <v>2295.7712135663842</v>
      </c>
      <c r="U67" s="63">
        <f t="shared" ref="U67" si="78">U68*U52</f>
        <v>1631.8381784973194</v>
      </c>
      <c r="V67" s="63">
        <f>V68*V52</f>
        <v>2376.9653510862868</v>
      </c>
      <c r="W67" s="64">
        <f>SUM(S67:V67)</f>
        <v>8660.3655683093675</v>
      </c>
    </row>
    <row r="68" spans="1:23" s="264" customFormat="1" outlineLevel="1" x14ac:dyDescent="0.25">
      <c r="A68" s="262"/>
      <c r="B68" s="258" t="s">
        <v>117</v>
      </c>
      <c r="C68" s="269"/>
      <c r="D68" s="266">
        <f>D67/D52</f>
        <v>0.48460485802257952</v>
      </c>
      <c r="E68" s="266">
        <f t="shared" ref="E68:N68" si="79">E67/E52</f>
        <v>0.50283146300914383</v>
      </c>
      <c r="F68" s="266">
        <f t="shared" si="79"/>
        <v>0.48634689876141746</v>
      </c>
      <c r="G68" s="266">
        <f t="shared" si="79"/>
        <v>0.5072042649248355</v>
      </c>
      <c r="H68" s="267"/>
      <c r="I68" s="266">
        <f t="shared" si="79"/>
        <v>0.49528069783046302</v>
      </c>
      <c r="J68" s="266">
        <f t="shared" si="79"/>
        <v>0.55870172895744896</v>
      </c>
      <c r="K68" s="266">
        <f t="shared" si="79"/>
        <v>0.79971972439565575</v>
      </c>
      <c r="L68" s="266">
        <f t="shared" si="79"/>
        <v>0.53172657600701878</v>
      </c>
      <c r="M68" s="267"/>
      <c r="N68" s="266">
        <f t="shared" si="79"/>
        <v>0.52249813293502612</v>
      </c>
      <c r="O68" s="268">
        <v>0.53</v>
      </c>
      <c r="P68" s="268">
        <v>0.51400000000000001</v>
      </c>
      <c r="Q68" s="268">
        <v>0.495</v>
      </c>
      <c r="R68" s="267">
        <f t="shared" ref="R68" si="80">R67/R52</f>
        <v>0.51542321661736845</v>
      </c>
      <c r="S68" s="268">
        <f>1.02*Q68</f>
        <v>0.50490000000000002</v>
      </c>
      <c r="T68" s="268">
        <f>1.02*S68</f>
        <v>0.51499800000000007</v>
      </c>
      <c r="U68" s="268">
        <f>1.05*T68</f>
        <v>0.54074790000000006</v>
      </c>
      <c r="V68" s="268">
        <f>0.98*U68</f>
        <v>0.52993294200000007</v>
      </c>
      <c r="W68" s="267">
        <f t="shared" ref="W68" si="81">W67/W52</f>
        <v>0.52086683091371189</v>
      </c>
    </row>
    <row r="69" spans="1:23" outlineLevel="1" x14ac:dyDescent="0.25">
      <c r="A69" s="142"/>
      <c r="B69" s="279" t="s">
        <v>68</v>
      </c>
      <c r="C69" s="25"/>
      <c r="D69" s="63">
        <v>44.5</v>
      </c>
      <c r="E69" s="63">
        <v>39.4</v>
      </c>
      <c r="F69" s="63">
        <v>41.7</v>
      </c>
      <c r="G69" s="63">
        <v>34.200000000000003</v>
      </c>
      <c r="H69" s="64"/>
      <c r="I69" s="63">
        <v>42.5</v>
      </c>
      <c r="J69" s="63">
        <v>41.8</v>
      </c>
      <c r="K69" s="63">
        <v>40.700000000000003</v>
      </c>
      <c r="L69" s="63">
        <v>41.8</v>
      </c>
      <c r="M69" s="64"/>
      <c r="N69" s="63">
        <v>42.8</v>
      </c>
      <c r="O69" s="63">
        <f>O64*O70</f>
        <v>45.284746520283242</v>
      </c>
      <c r="P69" s="63">
        <f t="shared" ref="P69:Q69" si="82">P64*P70</f>
        <v>32.069707428231098</v>
      </c>
      <c r="Q69" s="63">
        <f t="shared" si="82"/>
        <v>47.584031894137098</v>
      </c>
      <c r="R69" s="64">
        <f>SUM(N69:Q69)</f>
        <v>167.73848584265141</v>
      </c>
      <c r="S69" s="63">
        <f>S64*S70</f>
        <v>52.108187589807443</v>
      </c>
      <c r="T69" s="63">
        <f>T64*T70</f>
        <v>48.449017311259631</v>
      </c>
      <c r="U69" s="63">
        <f t="shared" ref="U69" si="83">U64*U70</f>
        <v>34.899516318722483</v>
      </c>
      <c r="V69" s="63">
        <f>V64*V70</f>
        <v>50.025935397994971</v>
      </c>
      <c r="W69" s="64">
        <f>SUM(S69:V69)</f>
        <v>185.48265661778453</v>
      </c>
    </row>
    <row r="70" spans="1:23" s="264" customFormat="1" outlineLevel="1" x14ac:dyDescent="0.25">
      <c r="A70" s="262"/>
      <c r="B70" s="258" t="s">
        <v>118</v>
      </c>
      <c r="C70" s="269"/>
      <c r="D70" s="266">
        <f>D69/D64</f>
        <v>9.6476964769647705E-3</v>
      </c>
      <c r="E70" s="266">
        <f t="shared" ref="E70:N70" si="84">E69/E64</f>
        <v>9.1328434667717479E-3</v>
      </c>
      <c r="F70" s="266">
        <f t="shared" si="84"/>
        <v>8.908162611352034E-3</v>
      </c>
      <c r="G70" s="266">
        <f t="shared" si="84"/>
        <v>7.352625016124179E-3</v>
      </c>
      <c r="H70" s="267"/>
      <c r="I70" s="266">
        <f t="shared" si="84"/>
        <v>8.4815103075295863E-3</v>
      </c>
      <c r="J70" s="266">
        <f t="shared" si="84"/>
        <v>9.6535796766743648E-3</v>
      </c>
      <c r="K70" s="266">
        <f t="shared" si="84"/>
        <v>1.4507217964712174E-2</v>
      </c>
      <c r="L70" s="266">
        <f t="shared" si="84"/>
        <v>9.8750265775236819E-3</v>
      </c>
      <c r="M70" s="267"/>
      <c r="N70" s="266">
        <f t="shared" si="84"/>
        <v>9.1001871066507915E-3</v>
      </c>
      <c r="O70" s="268">
        <v>0.01</v>
      </c>
      <c r="P70" s="268">
        <f>O70</f>
        <v>0.01</v>
      </c>
      <c r="Q70" s="268">
        <f>P70</f>
        <v>0.01</v>
      </c>
      <c r="R70" s="267">
        <f t="shared" ref="R70" si="85">R69/R64</f>
        <v>9.7539112610362574E-3</v>
      </c>
      <c r="S70" s="268">
        <f>Q70</f>
        <v>0.01</v>
      </c>
      <c r="T70" s="268">
        <f>S70</f>
        <v>0.01</v>
      </c>
      <c r="U70" s="268">
        <f>T70</f>
        <v>0.01</v>
      </c>
      <c r="V70" s="268">
        <f>U70</f>
        <v>0.01</v>
      </c>
      <c r="W70" s="267">
        <f t="shared" ref="W70" si="86">W69/W64</f>
        <v>0.01</v>
      </c>
    </row>
    <row r="71" spans="1:23" outlineLevel="1" x14ac:dyDescent="0.25">
      <c r="A71" s="142"/>
      <c r="B71" s="279" t="s">
        <v>69</v>
      </c>
      <c r="C71" s="25"/>
      <c r="D71" s="100">
        <v>166.9</v>
      </c>
      <c r="E71" s="100">
        <v>173</v>
      </c>
      <c r="F71" s="100">
        <v>175.6</v>
      </c>
      <c r="G71" s="100">
        <v>180.6</v>
      </c>
      <c r="H71" s="14"/>
      <c r="I71" s="100">
        <v>189.2</v>
      </c>
      <c r="J71" s="100">
        <v>191.5</v>
      </c>
      <c r="K71" s="100">
        <v>191.3</v>
      </c>
      <c r="L71" s="100">
        <v>190</v>
      </c>
      <c r="M71" s="236"/>
      <c r="N71" s="100">
        <v>188.9</v>
      </c>
      <c r="O71" s="276">
        <v>192.55567421198649</v>
      </c>
      <c r="P71" s="276">
        <v>194.32127999745299</v>
      </c>
      <c r="Q71" s="276">
        <v>196.45637643732309</v>
      </c>
      <c r="R71" s="64">
        <f t="shared" ref="R71:R72" si="87">SUM(N71:Q71)</f>
        <v>772.23333064676262</v>
      </c>
      <c r="S71" s="276">
        <v>198.65435180382713</v>
      </c>
      <c r="T71" s="276">
        <v>200.16435363625428</v>
      </c>
      <c r="U71" s="276">
        <v>201.81897973497942</v>
      </c>
      <c r="V71" s="276">
        <v>203.81383113061625</v>
      </c>
      <c r="W71" s="64">
        <f t="shared" ref="W71:W72" si="88">SUM(S71:V71)</f>
        <v>804.45151630567705</v>
      </c>
    </row>
    <row r="72" spans="1:23" outlineLevel="1" x14ac:dyDescent="0.25">
      <c r="A72" s="142"/>
      <c r="B72" s="279" t="s">
        <v>119</v>
      </c>
      <c r="C72" s="25"/>
      <c r="D72" s="63">
        <v>75.099999999999994</v>
      </c>
      <c r="E72" s="63">
        <v>70.900000000000006</v>
      </c>
      <c r="F72" s="63">
        <v>72</v>
      </c>
      <c r="G72" s="63">
        <v>106</v>
      </c>
      <c r="H72" s="64"/>
      <c r="I72" s="63">
        <v>72.400000000000006</v>
      </c>
      <c r="J72" s="63">
        <v>68.2</v>
      </c>
      <c r="K72" s="63">
        <v>62.2</v>
      </c>
      <c r="L72" s="63">
        <v>65.2</v>
      </c>
      <c r="M72" s="235"/>
      <c r="N72" s="63">
        <v>70.8</v>
      </c>
      <c r="O72" s="63">
        <f>O73*O64</f>
        <v>68.169757901770154</v>
      </c>
      <c r="P72" s="63">
        <f t="shared" ref="P72:Q72" si="89">P73*P64</f>
        <v>48.276392369424265</v>
      </c>
      <c r="Q72" s="63">
        <f t="shared" si="89"/>
        <v>71.631005657954304</v>
      </c>
      <c r="R72" s="64">
        <f t="shared" si="87"/>
        <v>258.87715592914873</v>
      </c>
      <c r="S72" s="63">
        <f>S73*S64</f>
        <v>78.441479872392563</v>
      </c>
      <c r="T72" s="63">
        <f>T73*T64</f>
        <v>72.933118422290832</v>
      </c>
      <c r="U72" s="63">
        <f t="shared" ref="U72" si="90">U73*U64</f>
        <v>52.536267974263311</v>
      </c>
      <c r="V72" s="63">
        <f t="shared" ref="V72" si="91">V73*V64</f>
        <v>75.306944764799368</v>
      </c>
      <c r="W72" s="64">
        <f t="shared" si="88"/>
        <v>279.21781103374605</v>
      </c>
    </row>
    <row r="73" spans="1:23" s="264" customFormat="1" outlineLevel="1" x14ac:dyDescent="0.25">
      <c r="A73" s="262"/>
      <c r="B73" s="258" t="s">
        <v>120</v>
      </c>
      <c r="C73" s="269"/>
      <c r="D73" s="266">
        <f>D72/D64</f>
        <v>1.6281842818428184E-2</v>
      </c>
      <c r="E73" s="266">
        <f t="shared" ref="E73:N73" si="92">E72/E64</f>
        <v>1.6434482279038501E-2</v>
      </c>
      <c r="F73" s="266">
        <f t="shared" si="92"/>
        <v>1.5381000192262503E-2</v>
      </c>
      <c r="G73" s="266">
        <f t="shared" si="92"/>
        <v>2.2788837769273769E-2</v>
      </c>
      <c r="H73" s="267"/>
      <c r="I73" s="266">
        <f t="shared" si="92"/>
        <v>1.4448502265062167E-2</v>
      </c>
      <c r="J73" s="266">
        <f t="shared" si="92"/>
        <v>1.5750577367205542E-2</v>
      </c>
      <c r="K73" s="266">
        <f t="shared" si="92"/>
        <v>2.2170736054179293E-2</v>
      </c>
      <c r="L73" s="266">
        <f t="shared" si="92"/>
        <v>1.5403151503697228E-2</v>
      </c>
      <c r="M73" s="267"/>
      <c r="N73" s="266">
        <f t="shared" si="92"/>
        <v>1.5053580540908319E-2</v>
      </c>
      <c r="O73" s="268">
        <f>N73</f>
        <v>1.5053580540908319E-2</v>
      </c>
      <c r="P73" s="268">
        <f>O73</f>
        <v>1.5053580540908319E-2</v>
      </c>
      <c r="Q73" s="268">
        <f>P73</f>
        <v>1.5053580540908319E-2</v>
      </c>
      <c r="R73" s="267">
        <f t="shared" ref="R73" si="93">R72/R64</f>
        <v>1.505358054090832E-2</v>
      </c>
      <c r="S73" s="268">
        <f>Q73</f>
        <v>1.5053580540908319E-2</v>
      </c>
      <c r="T73" s="268">
        <f>S73</f>
        <v>1.5053580540908319E-2</v>
      </c>
      <c r="U73" s="268">
        <f>T73</f>
        <v>1.5053580540908319E-2</v>
      </c>
      <c r="V73" s="268">
        <f>U73</f>
        <v>1.5053580540908319E-2</v>
      </c>
      <c r="W73" s="267">
        <f t="shared" ref="W73" si="94">W72/W64</f>
        <v>1.5053580540908317E-2</v>
      </c>
    </row>
    <row r="74" spans="1:23" ht="17.25" outlineLevel="1" x14ac:dyDescent="0.4">
      <c r="A74" s="142"/>
      <c r="B74" s="279" t="s">
        <v>71</v>
      </c>
      <c r="C74" s="25"/>
      <c r="D74" s="170">
        <v>22.9</v>
      </c>
      <c r="E74" s="170">
        <v>18.2</v>
      </c>
      <c r="F74" s="170">
        <v>15.1</v>
      </c>
      <c r="G74" s="170">
        <v>0.7</v>
      </c>
      <c r="H74" s="189"/>
      <c r="I74" s="170">
        <v>5.2</v>
      </c>
      <c r="J74" s="170">
        <v>0.5</v>
      </c>
      <c r="K74" s="170">
        <v>56.2</v>
      </c>
      <c r="L74" s="101">
        <v>195.6</v>
      </c>
      <c r="M74" s="234"/>
      <c r="N74" s="101">
        <v>72.2</v>
      </c>
      <c r="O74" s="175">
        <v>25</v>
      </c>
      <c r="P74" s="175">
        <v>15</v>
      </c>
      <c r="Q74" s="175">
        <v>5</v>
      </c>
      <c r="R74" s="68">
        <f>SUM(N74:Q74)</f>
        <v>117.2</v>
      </c>
      <c r="S74" s="175">
        <v>0</v>
      </c>
      <c r="T74" s="175">
        <v>0</v>
      </c>
      <c r="U74" s="175">
        <v>0</v>
      </c>
      <c r="V74" s="175">
        <v>0</v>
      </c>
      <c r="W74" s="68">
        <f>SUM(S74:V74)</f>
        <v>0</v>
      </c>
    </row>
    <row r="75" spans="1:23" outlineLevel="1" x14ac:dyDescent="0.25">
      <c r="A75" s="142"/>
      <c r="B75" s="61" t="s">
        <v>121</v>
      </c>
      <c r="C75" s="26"/>
      <c r="D75" s="146">
        <f>+D65+D67+D69+D71+D72+D74</f>
        <v>3643.7999999999997</v>
      </c>
      <c r="E75" s="146">
        <f t="shared" ref="E75:G75" si="95">+E65+E67+E69+E71+E72+E74</f>
        <v>3457.7</v>
      </c>
      <c r="F75" s="146">
        <f t="shared" si="95"/>
        <v>3662.3999999999996</v>
      </c>
      <c r="G75" s="146">
        <f t="shared" si="95"/>
        <v>3712.4999999999995</v>
      </c>
      <c r="H75" s="242">
        <f>+H65+H67+H69+H71+H72+H74</f>
        <v>0</v>
      </c>
      <c r="I75" s="146">
        <f t="shared" ref="I75:L75" si="96">+I65+I67+I69+I71+I72+I74</f>
        <v>3912.1</v>
      </c>
      <c r="J75" s="146">
        <f t="shared" si="96"/>
        <v>3708.8</v>
      </c>
      <c r="K75" s="146">
        <f t="shared" si="96"/>
        <v>3210.3999999999996</v>
      </c>
      <c r="L75" s="65">
        <f t="shared" si="96"/>
        <v>3722.6</v>
      </c>
      <c r="M75" s="270">
        <f>+M65+M67+M69+M71+M72+M74</f>
        <v>0</v>
      </c>
      <c r="N75" s="65">
        <f t="shared" ref="N75:Q75" si="97">+N65+N67+N69+N71+N72+N74</f>
        <v>3889.7000000000003</v>
      </c>
      <c r="O75" s="65">
        <f t="shared" si="97"/>
        <v>3846.281633234476</v>
      </c>
      <c r="P75" s="65">
        <f t="shared" si="97"/>
        <v>2566.7086634694783</v>
      </c>
      <c r="Q75" s="65">
        <f t="shared" si="97"/>
        <v>3577.6345598793187</v>
      </c>
      <c r="R75" s="270">
        <f>+R65+R67+R69+R71+R72+R74</f>
        <v>13880.324856583276</v>
      </c>
      <c r="S75" s="65">
        <f t="shared" ref="S75:U75" si="98">+S65+S67+S69+S71+S72+S74</f>
        <v>3944.1455164464742</v>
      </c>
      <c r="T75" s="65">
        <f t="shared" si="98"/>
        <v>3788.0475925738342</v>
      </c>
      <c r="U75" s="65">
        <f t="shared" si="98"/>
        <v>2764.4104989110924</v>
      </c>
      <c r="V75" s="65">
        <f>+V65+V67+V69+V71+V72+V74</f>
        <v>3914.9468556893971</v>
      </c>
      <c r="W75" s="270">
        <f>+W65+W67+W69+W71+W72+W74</f>
        <v>14411.550463620797</v>
      </c>
    </row>
    <row r="76" spans="1:23" outlineLevel="1" x14ac:dyDescent="0.25">
      <c r="A76" s="142"/>
      <c r="B76" s="61" t="s">
        <v>122</v>
      </c>
      <c r="C76" s="57"/>
      <c r="D76" s="228">
        <f t="shared" ref="D76:G76" si="99">+D64-D75</f>
        <v>968.70000000000027</v>
      </c>
      <c r="E76" s="228">
        <f t="shared" si="99"/>
        <v>856.40000000000055</v>
      </c>
      <c r="F76" s="228">
        <f t="shared" si="99"/>
        <v>1018.6999999999998</v>
      </c>
      <c r="G76" s="228">
        <f t="shared" si="99"/>
        <v>938.90000000000009</v>
      </c>
      <c r="H76" s="190">
        <f>SUM(D76:G76)</f>
        <v>3782.7000000000007</v>
      </c>
      <c r="I76" s="228">
        <f t="shared" ref="I76:L76" si="100">+I64-I75</f>
        <v>1098.7999999999997</v>
      </c>
      <c r="J76" s="228">
        <f t="shared" si="100"/>
        <v>621.19999999999982</v>
      </c>
      <c r="K76" s="228">
        <f t="shared" si="100"/>
        <v>-404.89999999999964</v>
      </c>
      <c r="L76" s="102">
        <f t="shared" si="100"/>
        <v>510.30000000000064</v>
      </c>
      <c r="M76" s="128">
        <f>SUM(I76:L76)</f>
        <v>1825.4000000000005</v>
      </c>
      <c r="N76" s="102">
        <f>+N64-N75</f>
        <v>813.49999999999955</v>
      </c>
      <c r="O76" s="102">
        <f t="shared" ref="O76:Q76" si="101">+O64-O75</f>
        <v>682.1930187938483</v>
      </c>
      <c r="P76" s="102">
        <f t="shared" si="101"/>
        <v>640.26207935363163</v>
      </c>
      <c r="Q76" s="102">
        <f t="shared" si="101"/>
        <v>1180.768629534391</v>
      </c>
      <c r="R76" s="128">
        <f>SUM(N76:Q76)</f>
        <v>3316.7237276818705</v>
      </c>
      <c r="S76" s="102">
        <f t="shared" ref="S76:V76" si="102">+S64-S75</f>
        <v>1266.6732425342698</v>
      </c>
      <c r="T76" s="102">
        <f t="shared" si="102"/>
        <v>1056.8541385521289</v>
      </c>
      <c r="U76" s="102">
        <f t="shared" si="102"/>
        <v>725.54113296115611</v>
      </c>
      <c r="V76" s="102">
        <f t="shared" si="102"/>
        <v>1087.6466841101001</v>
      </c>
      <c r="W76" s="128">
        <f>SUM(S76:V76)</f>
        <v>4136.7151981576553</v>
      </c>
    </row>
    <row r="77" spans="1:23" outlineLevel="1" x14ac:dyDescent="0.25">
      <c r="A77" s="142"/>
      <c r="B77" s="61" t="s">
        <v>123</v>
      </c>
      <c r="C77" s="57"/>
      <c r="D77" s="229">
        <f t="shared" ref="D77:G77" si="103">+D76/D64</f>
        <v>0.21001626016260169</v>
      </c>
      <c r="E77" s="229">
        <f t="shared" si="103"/>
        <v>0.19851185647064287</v>
      </c>
      <c r="F77" s="229">
        <f t="shared" si="103"/>
        <v>0.21761979022024736</v>
      </c>
      <c r="G77" s="229">
        <f t="shared" si="103"/>
        <v>0.20185320548652022</v>
      </c>
      <c r="H77" s="191">
        <f>H76/H64</f>
        <v>0.20716793270205</v>
      </c>
      <c r="I77" s="229">
        <f t="shared" ref="I77:L77" si="104">+I76/I64</f>
        <v>0.21928196531561192</v>
      </c>
      <c r="J77" s="229">
        <f t="shared" si="104"/>
        <v>0.14346420323325632</v>
      </c>
      <c r="K77" s="229">
        <f t="shared" si="104"/>
        <v>-0.14432364997326666</v>
      </c>
      <c r="L77" s="103">
        <f t="shared" si="104"/>
        <v>0.12055564742847706</v>
      </c>
      <c r="M77" s="129">
        <f>M76/M64</f>
        <v>0.11144554407086998</v>
      </c>
      <c r="N77" s="103">
        <f>+N76/N64</f>
        <v>0.17296734138458913</v>
      </c>
      <c r="O77" s="103">
        <f t="shared" ref="O77:Q77" si="105">+O76/O64</f>
        <v>0.1506452108522438</v>
      </c>
      <c r="P77" s="103">
        <f t="shared" si="105"/>
        <v>0.19964699733743321</v>
      </c>
      <c r="Q77" s="103">
        <f t="shared" si="105"/>
        <v>0.24814387989679274</v>
      </c>
      <c r="R77" s="129">
        <f>R76/R64</f>
        <v>0.19286586947928885</v>
      </c>
      <c r="S77" s="103">
        <f t="shared" ref="S77:V77" si="106">+S76/S64</f>
        <v>0.24308526186046736</v>
      </c>
      <c r="T77" s="103">
        <f t="shared" si="106"/>
        <v>0.21813737351211751</v>
      </c>
      <c r="U77" s="103">
        <f t="shared" si="106"/>
        <v>0.20789432332961194</v>
      </c>
      <c r="V77" s="103">
        <f t="shared" si="106"/>
        <v>0.21741656112115251</v>
      </c>
      <c r="W77" s="129">
        <f>W76/W64</f>
        <v>0.22302436646041748</v>
      </c>
    </row>
    <row r="78" spans="1:23" ht="18" x14ac:dyDescent="0.4">
      <c r="A78" s="142"/>
      <c r="B78" s="288" t="s">
        <v>124</v>
      </c>
      <c r="C78" s="289"/>
      <c r="D78" s="21" t="s">
        <v>42</v>
      </c>
      <c r="E78" s="21" t="s">
        <v>43</v>
      </c>
      <c r="F78" s="21" t="s">
        <v>44</v>
      </c>
      <c r="G78" s="21" t="s">
        <v>45</v>
      </c>
      <c r="H78" s="51" t="s">
        <v>46</v>
      </c>
      <c r="I78" s="21" t="s">
        <v>47</v>
      </c>
      <c r="J78" s="21" t="s">
        <v>48</v>
      </c>
      <c r="K78" s="21" t="s">
        <v>49</v>
      </c>
      <c r="L78" s="21" t="s">
        <v>50</v>
      </c>
      <c r="M78" s="51" t="s">
        <v>51</v>
      </c>
      <c r="N78" s="21" t="s">
        <v>52</v>
      </c>
      <c r="O78" s="19" t="s">
        <v>53</v>
      </c>
      <c r="P78" s="19" t="s">
        <v>54</v>
      </c>
      <c r="Q78" s="19" t="s">
        <v>55</v>
      </c>
      <c r="R78" s="53" t="s">
        <v>56</v>
      </c>
      <c r="S78" s="19" t="s">
        <v>57</v>
      </c>
      <c r="T78" s="19" t="s">
        <v>58</v>
      </c>
      <c r="U78" s="19" t="s">
        <v>59</v>
      </c>
      <c r="V78" s="19" t="s">
        <v>60</v>
      </c>
      <c r="W78" s="53" t="s">
        <v>61</v>
      </c>
    </row>
    <row r="79" spans="1:23" s="16" customFormat="1" outlineLevel="1" x14ac:dyDescent="0.25">
      <c r="A79" s="156"/>
      <c r="B79" s="294" t="s">
        <v>125</v>
      </c>
      <c r="C79" s="295"/>
      <c r="D79" s="28">
        <v>5839</v>
      </c>
      <c r="E79" s="28">
        <v>5879</v>
      </c>
      <c r="F79" s="165">
        <v>5646</v>
      </c>
      <c r="G79" s="28">
        <v>5860</v>
      </c>
      <c r="H79" s="270">
        <f>G79</f>
        <v>5860</v>
      </c>
      <c r="I79" s="28">
        <v>6059</v>
      </c>
      <c r="J79" s="28">
        <v>6137</v>
      </c>
      <c r="K79" s="28">
        <v>6254</v>
      </c>
      <c r="L79" s="28">
        <v>6528</v>
      </c>
      <c r="M79" s="270">
        <f>L79</f>
        <v>6528</v>
      </c>
      <c r="N79" s="28">
        <v>6713</v>
      </c>
      <c r="O79" s="28">
        <f>+N79+O80</f>
        <v>6823</v>
      </c>
      <c r="P79" s="28">
        <f t="shared" ref="P79:Q79" si="107">+O79+P80</f>
        <v>6943</v>
      </c>
      <c r="Q79" s="28">
        <f t="shared" si="107"/>
        <v>7078</v>
      </c>
      <c r="R79" s="270">
        <f>Q79</f>
        <v>7078</v>
      </c>
      <c r="S79" s="28">
        <f>+Q79+S80</f>
        <v>7218</v>
      </c>
      <c r="T79" s="28">
        <f>+S79+T80</f>
        <v>7360</v>
      </c>
      <c r="U79" s="28">
        <f t="shared" ref="U79:V79" si="108">+T79+U80</f>
        <v>7495</v>
      </c>
      <c r="V79" s="28">
        <f t="shared" si="108"/>
        <v>7675</v>
      </c>
      <c r="W79" s="270">
        <f>V79</f>
        <v>7675</v>
      </c>
    </row>
    <row r="80" spans="1:23" outlineLevel="1" x14ac:dyDescent="0.25">
      <c r="A80" s="142"/>
      <c r="B80" s="256" t="s">
        <v>96</v>
      </c>
      <c r="C80" s="285"/>
      <c r="D80" s="144">
        <f>+D79-5651</f>
        <v>188</v>
      </c>
      <c r="E80" s="144">
        <f>+E79-D79</f>
        <v>40</v>
      </c>
      <c r="F80" s="144">
        <f t="shared" ref="F80:G80" si="109">+F79-E79</f>
        <v>-233</v>
      </c>
      <c r="G80" s="144">
        <f t="shared" si="109"/>
        <v>214</v>
      </c>
      <c r="H80" s="33">
        <f>+SUM(D80:G80)</f>
        <v>209</v>
      </c>
      <c r="I80" s="144">
        <f>+I79-G79</f>
        <v>199</v>
      </c>
      <c r="J80" s="144">
        <f t="shared" ref="J80:L80" si="110">+J79-I79</f>
        <v>78</v>
      </c>
      <c r="K80" s="144">
        <f t="shared" si="110"/>
        <v>117</v>
      </c>
      <c r="L80" s="144">
        <f t="shared" si="110"/>
        <v>274</v>
      </c>
      <c r="M80" s="33">
        <f>+SUM(I80:L80)</f>
        <v>668</v>
      </c>
      <c r="N80" s="144">
        <v>185</v>
      </c>
      <c r="O80" s="41">
        <v>110</v>
      </c>
      <c r="P80" s="41">
        <v>120</v>
      </c>
      <c r="Q80" s="41">
        <v>135</v>
      </c>
      <c r="R80" s="33">
        <f>+SUM(N80:Q80)</f>
        <v>550</v>
      </c>
      <c r="S80" s="41">
        <v>140</v>
      </c>
      <c r="T80" s="41">
        <v>142</v>
      </c>
      <c r="U80" s="41">
        <v>135</v>
      </c>
      <c r="V80" s="41">
        <v>180</v>
      </c>
      <c r="W80" s="33">
        <f>+SUM(S80:V80)</f>
        <v>597</v>
      </c>
    </row>
    <row r="81" spans="1:23" s="80" customFormat="1" outlineLevel="1" x14ac:dyDescent="0.25">
      <c r="A81" s="159"/>
      <c r="B81" s="81" t="s">
        <v>97</v>
      </c>
      <c r="C81" s="82"/>
      <c r="D81" s="84">
        <v>5186</v>
      </c>
      <c r="E81" s="84">
        <v>5313</v>
      </c>
      <c r="F81" s="84">
        <v>5476</v>
      </c>
      <c r="G81" s="84">
        <v>5651</v>
      </c>
      <c r="H81" s="85"/>
      <c r="I81" s="84">
        <f>D79</f>
        <v>5839</v>
      </c>
      <c r="J81" s="84">
        <f>E79</f>
        <v>5879</v>
      </c>
      <c r="K81" s="84">
        <f>F79</f>
        <v>5646</v>
      </c>
      <c r="L81" s="84">
        <f>G79</f>
        <v>5860</v>
      </c>
      <c r="M81" s="85"/>
      <c r="N81" s="84">
        <f>I79</f>
        <v>6059</v>
      </c>
      <c r="O81" s="84">
        <f>J79</f>
        <v>6137</v>
      </c>
      <c r="P81" s="84">
        <f>K79</f>
        <v>6254</v>
      </c>
      <c r="Q81" s="84">
        <f>L79</f>
        <v>6528</v>
      </c>
      <c r="R81" s="85"/>
      <c r="S81" s="84">
        <f>N79</f>
        <v>6713</v>
      </c>
      <c r="T81" s="84">
        <f>O79</f>
        <v>6823</v>
      </c>
      <c r="U81" s="84">
        <f>P79</f>
        <v>6943</v>
      </c>
      <c r="V81" s="84">
        <f>Q79</f>
        <v>7078</v>
      </c>
      <c r="W81" s="85"/>
    </row>
    <row r="82" spans="1:23" s="80" customFormat="1" outlineLevel="1" x14ac:dyDescent="0.25">
      <c r="A82" s="159"/>
      <c r="B82" s="81" t="s">
        <v>98</v>
      </c>
      <c r="C82" s="82"/>
      <c r="D82" s="86">
        <v>0.17928494231648628</v>
      </c>
      <c r="E82" s="86">
        <v>0.13619630348516218</v>
      </c>
      <c r="F82" s="86">
        <v>0.14772468750000003</v>
      </c>
      <c r="G82" s="86">
        <v>0.17986385354501694</v>
      </c>
      <c r="H82" s="85"/>
      <c r="I82" s="86">
        <v>0.16685834939314323</v>
      </c>
      <c r="J82" s="86">
        <f>+E82*(1+J85)</f>
        <v>9.3975449404761893E-2</v>
      </c>
      <c r="K82" s="86">
        <f t="shared" ref="K82:L82" si="111">+F82*(1+K85)</f>
        <v>9.3066553125000021E-2</v>
      </c>
      <c r="L82" s="86">
        <f t="shared" si="111"/>
        <v>0.16187746819051524</v>
      </c>
      <c r="M82" s="85"/>
      <c r="N82" s="86">
        <f>+I82*(1+N85)</f>
        <v>0.18020701734459471</v>
      </c>
      <c r="O82" s="86">
        <f>+J82*(1+O85)</f>
        <v>9.9613976369047619E-2</v>
      </c>
      <c r="P82" s="86">
        <f t="shared" ref="P82:Q82" si="112">+K82*(1+P85)</f>
        <v>0.10051187737500003</v>
      </c>
      <c r="Q82" s="86">
        <f t="shared" si="112"/>
        <v>0.17806521500956679</v>
      </c>
      <c r="R82" s="85"/>
      <c r="S82" s="86">
        <f>+N82*(1+S85)</f>
        <v>0.19462357873216229</v>
      </c>
      <c r="T82" s="86">
        <f>+O82*(1+T85)</f>
        <v>0.10857923424226192</v>
      </c>
      <c r="U82" s="86">
        <f t="shared" ref="U82:V82" si="113">+P82*(1+U85)</f>
        <v>0.11056306511250004</v>
      </c>
      <c r="V82" s="86">
        <f t="shared" si="113"/>
        <v>0.19409108436042782</v>
      </c>
      <c r="W82" s="85"/>
    </row>
    <row r="83" spans="1:23" outlineLevel="1" x14ac:dyDescent="0.25">
      <c r="A83" s="142"/>
      <c r="B83" s="279" t="s">
        <v>99</v>
      </c>
      <c r="C83" s="280"/>
      <c r="D83" s="167">
        <v>0.01</v>
      </c>
      <c r="E83" s="167">
        <v>0</v>
      </c>
      <c r="F83" s="167">
        <v>0.01</v>
      </c>
      <c r="G83" s="167">
        <v>0.01</v>
      </c>
      <c r="H83" s="36"/>
      <c r="I83" s="167">
        <v>-0.01</v>
      </c>
      <c r="J83" s="167">
        <v>-0.32</v>
      </c>
      <c r="K83" s="167">
        <v>-0.44</v>
      </c>
      <c r="L83" s="38">
        <v>-0.15</v>
      </c>
      <c r="M83" s="36"/>
      <c r="N83" s="167">
        <v>-0.03</v>
      </c>
      <c r="O83" s="38"/>
      <c r="P83" s="38"/>
      <c r="Q83" s="38"/>
      <c r="R83" s="36"/>
      <c r="S83" s="38"/>
      <c r="T83" s="38"/>
      <c r="U83" s="38"/>
      <c r="V83" s="38"/>
      <c r="W83" s="36"/>
    </row>
    <row r="84" spans="1:23" outlineLevel="1" x14ac:dyDescent="0.25">
      <c r="A84" s="142"/>
      <c r="B84" s="279" t="s">
        <v>100</v>
      </c>
      <c r="C84" s="280"/>
      <c r="D84" s="222">
        <v>0.01</v>
      </c>
      <c r="E84" s="222">
        <v>0.02</v>
      </c>
      <c r="F84" s="222">
        <v>0.03</v>
      </c>
      <c r="G84" s="222">
        <v>0.03</v>
      </c>
      <c r="H84" s="75"/>
      <c r="I84" s="222">
        <v>0.02</v>
      </c>
      <c r="J84" s="222">
        <v>0.01</v>
      </c>
      <c r="K84" s="222">
        <v>0.13</v>
      </c>
      <c r="L84" s="74">
        <v>7.0000000000000007E-2</v>
      </c>
      <c r="M84" s="75"/>
      <c r="N84" s="222">
        <v>-0.1</v>
      </c>
      <c r="O84" s="74"/>
      <c r="P84" s="74"/>
      <c r="Q84" s="74"/>
      <c r="R84" s="75"/>
      <c r="S84" s="74"/>
      <c r="T84" s="74"/>
      <c r="U84" s="74"/>
      <c r="V84" s="74"/>
      <c r="W84" s="75"/>
    </row>
    <row r="85" spans="1:23" s="16" customFormat="1" outlineLevel="1" x14ac:dyDescent="0.25">
      <c r="A85" s="156"/>
      <c r="B85" s="241" t="s">
        <v>101</v>
      </c>
      <c r="C85" s="282"/>
      <c r="D85" s="223">
        <v>0.02</v>
      </c>
      <c r="E85" s="223">
        <v>0.02</v>
      </c>
      <c r="F85" s="224">
        <v>0.05</v>
      </c>
      <c r="G85" s="223">
        <v>0.03</v>
      </c>
      <c r="H85" s="76"/>
      <c r="I85" s="223">
        <v>0.01</v>
      </c>
      <c r="J85" s="223">
        <v>-0.31</v>
      </c>
      <c r="K85" s="223">
        <v>-0.37</v>
      </c>
      <c r="L85" s="229">
        <v>-0.1</v>
      </c>
      <c r="M85" s="76"/>
      <c r="N85" s="223">
        <v>0.08</v>
      </c>
      <c r="O85" s="78">
        <v>0.06</v>
      </c>
      <c r="P85" s="78">
        <v>0.08</v>
      </c>
      <c r="Q85" s="78">
        <v>0.1</v>
      </c>
      <c r="R85" s="76"/>
      <c r="S85" s="78">
        <v>0.08</v>
      </c>
      <c r="T85" s="78">
        <v>0.09</v>
      </c>
      <c r="U85" s="78">
        <v>0.1</v>
      </c>
      <c r="V85" s="78">
        <v>0.09</v>
      </c>
      <c r="W85" s="76"/>
    </row>
    <row r="86" spans="1:23" ht="17.25" outlineLevel="1" x14ac:dyDescent="0.4">
      <c r="A86" s="142"/>
      <c r="B86" s="60" t="s">
        <v>126</v>
      </c>
      <c r="C86" s="280"/>
      <c r="D86" s="40">
        <v>348</v>
      </c>
      <c r="E86" s="40">
        <v>586</v>
      </c>
      <c r="F86" s="40">
        <v>544</v>
      </c>
      <c r="G86" s="40">
        <v>299</v>
      </c>
      <c r="H86" s="14"/>
      <c r="I86" s="40">
        <v>335</v>
      </c>
      <c r="J86" s="40">
        <v>350</v>
      </c>
      <c r="K86" s="40">
        <v>350</v>
      </c>
      <c r="L86" s="40">
        <v>350</v>
      </c>
      <c r="M86" s="14"/>
      <c r="N86" s="40">
        <v>350</v>
      </c>
      <c r="O86" s="40">
        <v>350</v>
      </c>
      <c r="P86" s="40">
        <v>350</v>
      </c>
      <c r="Q86" s="40">
        <f>AVERAGE(P86,O86,N86,L86)</f>
        <v>350</v>
      </c>
      <c r="R86" s="14"/>
      <c r="S86" s="40">
        <f>AVERAGE(Q86,P86,O86,N86)</f>
        <v>350</v>
      </c>
      <c r="T86" s="40">
        <f>AVERAGE(S86,Q86,P86,O86)</f>
        <v>350</v>
      </c>
      <c r="U86" s="40">
        <f>AVERAGE(T86,S86,Q86,P86)</f>
        <v>350</v>
      </c>
      <c r="V86" s="40">
        <f>AVERAGE(U86,T86,S86,Q86)</f>
        <v>350</v>
      </c>
      <c r="W86" s="14"/>
    </row>
    <row r="87" spans="1:23" s="16" customFormat="1" outlineLevel="1" x14ac:dyDescent="0.25">
      <c r="A87" s="156"/>
      <c r="B87" s="296" t="s">
        <v>127</v>
      </c>
      <c r="C87" s="297"/>
      <c r="D87" s="65">
        <v>1278.0999999999999</v>
      </c>
      <c r="E87" s="65">
        <v>1309.4000000000001</v>
      </c>
      <c r="F87" s="146">
        <v>1352.8</v>
      </c>
      <c r="G87" s="65">
        <v>1315.9</v>
      </c>
      <c r="H87" s="128">
        <f>SUM(D87:G87)</f>
        <v>5256.2000000000007</v>
      </c>
      <c r="I87" s="65">
        <v>1309.7</v>
      </c>
      <c r="J87" s="65">
        <v>902.4</v>
      </c>
      <c r="K87" s="146">
        <v>875.5</v>
      </c>
      <c r="L87" s="65">
        <v>1298.3</v>
      </c>
      <c r="M87" s="128">
        <f>SUM(I87:L87)</f>
        <v>4385.8999999999996</v>
      </c>
      <c r="N87" s="65">
        <v>1441.7</v>
      </c>
      <c r="O87" s="65">
        <f>+O81*O82+O86</f>
        <v>961.33097297684526</v>
      </c>
      <c r="P87" s="65">
        <f t="shared" ref="P87:Q87" si="114">+P81*P82+P86</f>
        <v>978.60128110325024</v>
      </c>
      <c r="Q87" s="65">
        <f t="shared" si="114"/>
        <v>1512.409723582452</v>
      </c>
      <c r="R87" s="128">
        <f>SUM(N87:Q87)</f>
        <v>4894.0419776625477</v>
      </c>
      <c r="S87" s="65">
        <f>+S81*S82+S86</f>
        <v>1656.5080840290054</v>
      </c>
      <c r="T87" s="65">
        <f>+T81*T82+T86</f>
        <v>1090.836115234953</v>
      </c>
      <c r="U87" s="65">
        <f t="shared" ref="U87:V87" si="115">+U81*U82+U86</f>
        <v>1117.6393610760879</v>
      </c>
      <c r="V87" s="65">
        <f t="shared" si="115"/>
        <v>1723.7766951031081</v>
      </c>
      <c r="W87" s="128">
        <f>SUM(S87:V87)</f>
        <v>5588.7602554431542</v>
      </c>
    </row>
    <row r="88" spans="1:23" s="16" customFormat="1" outlineLevel="1" x14ac:dyDescent="0.25">
      <c r="A88" s="156"/>
      <c r="B88" s="87" t="s">
        <v>104</v>
      </c>
      <c r="C88" s="282"/>
      <c r="D88" s="91">
        <f t="shared" ref="D88:G88" si="116">+D87/D79</f>
        <v>0.21889022092824112</v>
      </c>
      <c r="E88" s="91">
        <f t="shared" si="116"/>
        <v>0.22272495322333732</v>
      </c>
      <c r="F88" s="168">
        <f t="shared" si="116"/>
        <v>0.23960325894438539</v>
      </c>
      <c r="G88" s="91">
        <f t="shared" si="116"/>
        <v>0.22455631399317408</v>
      </c>
      <c r="H88" s="77"/>
      <c r="I88" s="91">
        <f t="shared" ref="I88:L88" si="117">+I87/I79</f>
        <v>0.21615778181218023</v>
      </c>
      <c r="J88" s="91">
        <f t="shared" si="117"/>
        <v>0.14704252892292652</v>
      </c>
      <c r="K88" s="91">
        <f t="shared" si="117"/>
        <v>0.13999040614007036</v>
      </c>
      <c r="L88" s="91">
        <f t="shared" si="117"/>
        <v>0.19888174019607843</v>
      </c>
      <c r="M88" s="77"/>
      <c r="N88" s="91">
        <f t="shared" ref="N88:Q88" si="118">+N87/N79</f>
        <v>0.21476240131088933</v>
      </c>
      <c r="O88" s="91">
        <f t="shared" si="118"/>
        <v>0.14089564311546904</v>
      </c>
      <c r="P88" s="91">
        <f t="shared" si="118"/>
        <v>0.14094790164240967</v>
      </c>
      <c r="Q88" s="91">
        <f t="shared" si="118"/>
        <v>0.21367755348720713</v>
      </c>
      <c r="R88" s="77"/>
      <c r="S88" s="91">
        <f t="shared" ref="S88:V88" si="119">+S87/S79</f>
        <v>0.22949682516334241</v>
      </c>
      <c r="T88" s="91">
        <f t="shared" si="119"/>
        <v>0.14821142870040122</v>
      </c>
      <c r="U88" s="91">
        <f t="shared" si="119"/>
        <v>0.14911799347246002</v>
      </c>
      <c r="V88" s="91">
        <f t="shared" si="119"/>
        <v>0.22459631206555153</v>
      </c>
      <c r="W88" s="77"/>
    </row>
    <row r="89" spans="1:23" s="80" customFormat="1" outlineLevel="1" x14ac:dyDescent="0.25">
      <c r="A89" s="159"/>
      <c r="B89" s="87" t="s">
        <v>105</v>
      </c>
      <c r="C89" s="88"/>
      <c r="D89" s="83">
        <f>ROUND((+D87-D86-(D81*D82)),0)</f>
        <v>0</v>
      </c>
      <c r="E89" s="89">
        <f>ROUND((+E87-E86-(E81*E82)),0)</f>
        <v>0</v>
      </c>
      <c r="F89" s="160">
        <f>ROUND((+F87-F86-(F81*F82)),0)</f>
        <v>0</v>
      </c>
      <c r="G89" s="89">
        <f>ROUND((+G87-G86-(G81*G82)),0)</f>
        <v>0</v>
      </c>
      <c r="H89" s="90"/>
      <c r="I89" s="89">
        <f>ROUND((+I87-I86-(I81*I82)),0)</f>
        <v>0</v>
      </c>
      <c r="J89" s="89">
        <f>ROUND((+J87-J86-(J81*J82)),0)</f>
        <v>0</v>
      </c>
      <c r="K89" s="89">
        <f>ROUND((+K87-K86-(K81*K82)),0)</f>
        <v>0</v>
      </c>
      <c r="L89" s="89">
        <f>ROUND((+L87-L86-(L81*L82)),0)</f>
        <v>0</v>
      </c>
      <c r="M89" s="90"/>
      <c r="N89" s="89">
        <f>ROUND((+N87-N86-(N81*N82)),0)</f>
        <v>0</v>
      </c>
      <c r="O89" s="89">
        <f>ROUND((+O87-O86-(O81*O82)),0)</f>
        <v>0</v>
      </c>
      <c r="P89" s="89">
        <f>ROUND((+P87-P86-(P81*P82)),0)</f>
        <v>0</v>
      </c>
      <c r="Q89" s="89">
        <f>ROUND((+Q87-Q86-(Q81*Q82)),0)</f>
        <v>0</v>
      </c>
      <c r="R89" s="90"/>
      <c r="S89" s="89">
        <f>ROUND((+S87-S86-(S81*S82)),0)</f>
        <v>0</v>
      </c>
      <c r="T89" s="89">
        <f>ROUND((+T87-T86-(T81*T82)),0)</f>
        <v>0</v>
      </c>
      <c r="U89" s="89">
        <f>ROUND((+U87-U86-(U81*U82)),0)</f>
        <v>0</v>
      </c>
      <c r="V89" s="89">
        <f>ROUND((+V87-V86-(V81*V82)),0)</f>
        <v>0</v>
      </c>
      <c r="W89" s="90"/>
    </row>
    <row r="90" spans="1:23" s="16" customFormat="1" outlineLevel="1" x14ac:dyDescent="0.25">
      <c r="A90" s="156"/>
      <c r="B90" s="328" t="s">
        <v>128</v>
      </c>
      <c r="C90" s="329"/>
      <c r="D90" s="166">
        <v>6373</v>
      </c>
      <c r="E90" s="166">
        <v>6586</v>
      </c>
      <c r="F90" s="166">
        <v>7127</v>
      </c>
      <c r="G90" s="166">
        <v>7329</v>
      </c>
      <c r="H90" s="271">
        <f>G90</f>
        <v>7329</v>
      </c>
      <c r="I90" s="166">
        <v>7533</v>
      </c>
      <c r="J90" s="166">
        <v>7642</v>
      </c>
      <c r="K90" s="166">
        <v>7691</v>
      </c>
      <c r="L90" s="166">
        <v>7778</v>
      </c>
      <c r="M90" s="271">
        <f>L90</f>
        <v>7778</v>
      </c>
      <c r="N90" s="166">
        <v>7917</v>
      </c>
      <c r="O90" s="92">
        <f>+N90+O91</f>
        <v>8017</v>
      </c>
      <c r="P90" s="92">
        <f t="shared" ref="P90:Q90" si="120">+O90+P91</f>
        <v>8141</v>
      </c>
      <c r="Q90" s="92">
        <f t="shared" si="120"/>
        <v>8281</v>
      </c>
      <c r="R90" s="271">
        <f>Q90</f>
        <v>8281</v>
      </c>
      <c r="S90" s="92">
        <f>+Q90+S91</f>
        <v>8424</v>
      </c>
      <c r="T90" s="92">
        <f>+S90+T91</f>
        <v>8559</v>
      </c>
      <c r="U90" s="92">
        <f t="shared" ref="U90:V90" si="121">+T90+U91</f>
        <v>8709</v>
      </c>
      <c r="V90" s="92">
        <f t="shared" si="121"/>
        <v>8834</v>
      </c>
      <c r="W90" s="271">
        <f>V90</f>
        <v>8834</v>
      </c>
    </row>
    <row r="91" spans="1:23" outlineLevel="1" x14ac:dyDescent="0.25">
      <c r="A91" s="142"/>
      <c r="B91" s="256" t="s">
        <v>107</v>
      </c>
      <c r="C91" s="285"/>
      <c r="D91" s="144">
        <f>+D90-6201</f>
        <v>172</v>
      </c>
      <c r="E91" s="144">
        <f>+E90-D90</f>
        <v>213</v>
      </c>
      <c r="F91" s="144">
        <f t="shared" ref="F91:G91" si="122">+F90-E90</f>
        <v>541</v>
      </c>
      <c r="G91" s="144">
        <f t="shared" si="122"/>
        <v>202</v>
      </c>
      <c r="H91" s="173">
        <f>+SUM(D91:G91)</f>
        <v>1128</v>
      </c>
      <c r="I91" s="144">
        <f>+I90-G90</f>
        <v>204</v>
      </c>
      <c r="J91" s="144">
        <f t="shared" ref="J91:L91" si="123">+J90-I90</f>
        <v>109</v>
      </c>
      <c r="K91" s="144">
        <f t="shared" si="123"/>
        <v>49</v>
      </c>
      <c r="L91" s="144">
        <f t="shared" si="123"/>
        <v>87</v>
      </c>
      <c r="M91" s="173">
        <f>+SUM(I91:L91)</f>
        <v>449</v>
      </c>
      <c r="N91" s="144">
        <v>139</v>
      </c>
      <c r="O91" s="41">
        <v>100</v>
      </c>
      <c r="P91" s="41">
        <v>124</v>
      </c>
      <c r="Q91" s="41">
        <v>140</v>
      </c>
      <c r="R91" s="173">
        <f>+SUM(N91:Q91)</f>
        <v>503</v>
      </c>
      <c r="S91" s="41">
        <v>143</v>
      </c>
      <c r="T91" s="41">
        <v>135</v>
      </c>
      <c r="U91" s="41">
        <v>150</v>
      </c>
      <c r="V91" s="41">
        <v>125</v>
      </c>
      <c r="W91" s="173">
        <f>+SUM(S91:V91)</f>
        <v>553</v>
      </c>
    </row>
    <row r="92" spans="1:23" outlineLevel="1" x14ac:dyDescent="0.25">
      <c r="A92" s="142"/>
      <c r="B92" s="279" t="s">
        <v>108</v>
      </c>
      <c r="C92" s="278"/>
      <c r="D92" s="23">
        <f>AVERAGE(D90,6201)</f>
        <v>6287</v>
      </c>
      <c r="E92" s="23">
        <f>AVERAGE(E90,D90)</f>
        <v>6479.5</v>
      </c>
      <c r="F92" s="23">
        <f t="shared" ref="F92:G92" si="124">AVERAGE(F90,E90)</f>
        <v>6856.5</v>
      </c>
      <c r="G92" s="23">
        <f t="shared" si="124"/>
        <v>7228</v>
      </c>
      <c r="H92" s="33"/>
      <c r="I92" s="23">
        <f>AVERAGE(I90,G90)</f>
        <v>7431</v>
      </c>
      <c r="J92" s="23">
        <f>AVERAGE(J90,I90)</f>
        <v>7587.5</v>
      </c>
      <c r="K92" s="23">
        <f t="shared" ref="K92:L92" si="125">AVERAGE(K90,J90)</f>
        <v>7666.5</v>
      </c>
      <c r="L92" s="23">
        <f t="shared" si="125"/>
        <v>7734.5</v>
      </c>
      <c r="M92" s="14"/>
      <c r="N92" s="23">
        <f>AVERAGE(N90,L90)</f>
        <v>7847.5</v>
      </c>
      <c r="O92" s="23">
        <f>AVERAGE(O90,N90)</f>
        <v>7967</v>
      </c>
      <c r="P92" s="23">
        <f t="shared" ref="P92:Q92" si="126">AVERAGE(P90,O90)</f>
        <v>8079</v>
      </c>
      <c r="Q92" s="23">
        <f t="shared" si="126"/>
        <v>8211</v>
      </c>
      <c r="R92" s="14"/>
      <c r="S92" s="23">
        <f>AVERAGE(S90,Q90)</f>
        <v>8352.5</v>
      </c>
      <c r="T92" s="23">
        <f>AVERAGE(T90,S90)</f>
        <v>8491.5</v>
      </c>
      <c r="U92" s="23">
        <f t="shared" ref="U92:V92" si="127">AVERAGE(U90,T90)</f>
        <v>8634</v>
      </c>
      <c r="V92" s="23">
        <f t="shared" si="127"/>
        <v>8771.5</v>
      </c>
      <c r="W92" s="14"/>
    </row>
    <row r="93" spans="1:23" outlineLevel="1" x14ac:dyDescent="0.25">
      <c r="A93" s="142"/>
      <c r="B93" s="279" t="s">
        <v>109</v>
      </c>
      <c r="C93" s="278"/>
      <c r="D93" s="55">
        <f>+D94/D92</f>
        <v>3.5390488309209482E-2</v>
      </c>
      <c r="E93" s="162">
        <f>+E94/E92</f>
        <v>3.3197005941816495E-2</v>
      </c>
      <c r="F93" s="162">
        <f>+F94/F92</f>
        <v>3.335521038430686E-2</v>
      </c>
      <c r="G93" s="162">
        <f>+G94/G92</f>
        <v>3.468456004427227E-2</v>
      </c>
      <c r="H93" s="33"/>
      <c r="I93" s="162">
        <f t="shared" ref="I93:N93" si="128">+I94/I92</f>
        <v>3.4275333064190554E-2</v>
      </c>
      <c r="J93" s="162">
        <f t="shared" si="128"/>
        <v>2.97331136738056E-2</v>
      </c>
      <c r="K93" s="162">
        <f t="shared" si="128"/>
        <v>8.4784451835909474E-3</v>
      </c>
      <c r="L93" s="162">
        <f t="shared" si="128"/>
        <v>2.4397181459693579E-2</v>
      </c>
      <c r="M93" s="14"/>
      <c r="N93" s="162">
        <f t="shared" si="128"/>
        <v>2.5179993628544121E-2</v>
      </c>
      <c r="O93" s="79">
        <v>2.7E-2</v>
      </c>
      <c r="P93" s="79">
        <v>3.2000000000000001E-2</v>
      </c>
      <c r="Q93" s="79">
        <v>3.5000000000000003E-2</v>
      </c>
      <c r="R93" s="14"/>
      <c r="S93" s="79">
        <v>3.5000000000000003E-2</v>
      </c>
      <c r="T93" s="79">
        <v>3.2000000000000001E-2</v>
      </c>
      <c r="U93" s="79">
        <v>3.2000000000000001E-2</v>
      </c>
      <c r="V93" s="79">
        <f>+Q93*(1+2%)</f>
        <v>3.5700000000000003E-2</v>
      </c>
      <c r="W93" s="14"/>
    </row>
    <row r="94" spans="1:23" s="16" customFormat="1" outlineLevel="1" x14ac:dyDescent="0.25">
      <c r="A94" s="156"/>
      <c r="B94" s="322" t="s">
        <v>129</v>
      </c>
      <c r="C94" s="323"/>
      <c r="D94" s="163">
        <v>222.5</v>
      </c>
      <c r="E94" s="163">
        <v>215.1</v>
      </c>
      <c r="F94" s="163">
        <v>228.7</v>
      </c>
      <c r="G94" s="163">
        <v>250.7</v>
      </c>
      <c r="H94" s="99">
        <f>SUM(D94:G94)</f>
        <v>917</v>
      </c>
      <c r="I94" s="163">
        <v>254.7</v>
      </c>
      <c r="J94" s="163">
        <v>225.6</v>
      </c>
      <c r="K94" s="163">
        <v>65</v>
      </c>
      <c r="L94" s="97">
        <v>188.7</v>
      </c>
      <c r="M94" s="99">
        <f>SUM(I94:L94)</f>
        <v>734</v>
      </c>
      <c r="N94" s="97">
        <v>197.6</v>
      </c>
      <c r="O94" s="97">
        <f>+O92*O93</f>
        <v>215.10900000000001</v>
      </c>
      <c r="P94" s="97">
        <f t="shared" ref="P94:Q94" si="129">+P92*P93</f>
        <v>258.52800000000002</v>
      </c>
      <c r="Q94" s="97">
        <f t="shared" si="129"/>
        <v>287.38500000000005</v>
      </c>
      <c r="R94" s="99">
        <f>SUM(N94:Q94)</f>
        <v>958.62200000000007</v>
      </c>
      <c r="S94" s="97">
        <f>+S92*S93</f>
        <v>292.33750000000003</v>
      </c>
      <c r="T94" s="97">
        <f>+T92*T93</f>
        <v>271.72800000000001</v>
      </c>
      <c r="U94" s="97">
        <f t="shared" ref="U94:V94" si="130">+U92*U93</f>
        <v>276.28800000000001</v>
      </c>
      <c r="V94" s="97">
        <f t="shared" si="130"/>
        <v>313.14255000000003</v>
      </c>
      <c r="W94" s="99">
        <f>SUM(S94:V94)</f>
        <v>1153.4960500000002</v>
      </c>
    </row>
    <row r="95" spans="1:23" s="16" customFormat="1" outlineLevel="1" x14ac:dyDescent="0.25">
      <c r="A95" s="156"/>
      <c r="B95" s="296" t="s">
        <v>130</v>
      </c>
      <c r="C95" s="297"/>
      <c r="D95" s="146">
        <v>3.4</v>
      </c>
      <c r="E95" s="146">
        <v>4.9000000000000004</v>
      </c>
      <c r="F95" s="146">
        <v>3.8</v>
      </c>
      <c r="G95" s="146">
        <v>5.5</v>
      </c>
      <c r="H95" s="128">
        <f>SUM(D95:G95)</f>
        <v>17.600000000000001</v>
      </c>
      <c r="I95" s="146">
        <v>6.7</v>
      </c>
      <c r="J95" s="146">
        <v>6.6</v>
      </c>
      <c r="K95" s="146">
        <v>9.1</v>
      </c>
      <c r="L95" s="65">
        <v>5.3</v>
      </c>
      <c r="M95" s="128">
        <f>SUM(I95:L95)</f>
        <v>27.7</v>
      </c>
      <c r="N95" s="65">
        <v>15</v>
      </c>
      <c r="O95" s="65">
        <f>+J95*(1+O96)</f>
        <v>11.549999999999999</v>
      </c>
      <c r="P95" s="65">
        <f>+K95*(1+P96)</f>
        <v>15.924999999999999</v>
      </c>
      <c r="Q95" s="65">
        <f t="shared" ref="Q95" si="131">+L95*(1+Q96)</f>
        <v>7.9499999999999993</v>
      </c>
      <c r="R95" s="128">
        <f>SUM(N95:Q95)</f>
        <v>50.424999999999997</v>
      </c>
      <c r="S95" s="65">
        <f>+N95*(1+S96)</f>
        <v>22.5</v>
      </c>
      <c r="T95" s="65">
        <f>+O95*(1+T96)</f>
        <v>17.324999999999999</v>
      </c>
      <c r="U95" s="65">
        <f>+P95*(1+U96)</f>
        <v>19.90625</v>
      </c>
      <c r="V95" s="65">
        <f t="shared" ref="V95" si="132">+Q95*(1+V96)</f>
        <v>9.9375</v>
      </c>
      <c r="W95" s="128">
        <f>SUM(S95:V95)</f>
        <v>69.668750000000003</v>
      </c>
    </row>
    <row r="96" spans="1:23" outlineLevel="1" x14ac:dyDescent="0.25">
      <c r="A96" s="142"/>
      <c r="B96" s="94" t="s">
        <v>112</v>
      </c>
      <c r="C96" s="95"/>
      <c r="D96" s="171"/>
      <c r="E96" s="171"/>
      <c r="F96" s="171"/>
      <c r="G96" s="171"/>
      <c r="H96" s="73"/>
      <c r="I96" s="171">
        <f>I95/D95-1</f>
        <v>0.97058823529411775</v>
      </c>
      <c r="J96" s="171">
        <f t="shared" ref="J96:L96" si="133">J95/E95-1</f>
        <v>0.3469387755102038</v>
      </c>
      <c r="K96" s="171">
        <f t="shared" si="133"/>
        <v>1.3947368421052633</v>
      </c>
      <c r="L96" s="171">
        <f t="shared" si="133"/>
        <v>-3.6363636363636376E-2</v>
      </c>
      <c r="M96" s="73"/>
      <c r="N96" s="171">
        <f>N95/I95-1</f>
        <v>1.2388059701492535</v>
      </c>
      <c r="O96" s="96">
        <v>0.75</v>
      </c>
      <c r="P96" s="96">
        <v>0.75</v>
      </c>
      <c r="Q96" s="96">
        <v>0.5</v>
      </c>
      <c r="R96" s="73"/>
      <c r="S96" s="96">
        <v>0.5</v>
      </c>
      <c r="T96" s="96">
        <v>0.5</v>
      </c>
      <c r="U96" s="96">
        <v>0.25</v>
      </c>
      <c r="V96" s="96">
        <v>0.25</v>
      </c>
      <c r="W96" s="73"/>
    </row>
    <row r="97" spans="1:23" outlineLevel="1" x14ac:dyDescent="0.25">
      <c r="A97" s="142"/>
      <c r="B97" s="279" t="s">
        <v>131</v>
      </c>
      <c r="C97" s="280"/>
      <c r="D97" s="144">
        <f t="shared" ref="D97:G98" si="134">+D90+D79</f>
        <v>12212</v>
      </c>
      <c r="E97" s="144">
        <f t="shared" si="134"/>
        <v>12465</v>
      </c>
      <c r="F97" s="144">
        <f t="shared" si="134"/>
        <v>12773</v>
      </c>
      <c r="G97" s="144">
        <f t="shared" si="134"/>
        <v>13189</v>
      </c>
      <c r="H97" s="14"/>
      <c r="I97" s="144">
        <f>+I90+I79</f>
        <v>13592</v>
      </c>
      <c r="J97" s="144">
        <f t="shared" ref="J97:L98" si="135">+J90+J79</f>
        <v>13779</v>
      </c>
      <c r="K97" s="144">
        <f t="shared" si="135"/>
        <v>13945</v>
      </c>
      <c r="L97" s="23">
        <f t="shared" si="135"/>
        <v>14306</v>
      </c>
      <c r="M97" s="14"/>
      <c r="N97" s="23">
        <f>+N90+N79</f>
        <v>14630</v>
      </c>
      <c r="O97" s="23">
        <f t="shared" ref="O97:Q98" si="136">+O90+O79</f>
        <v>14840</v>
      </c>
      <c r="P97" s="23">
        <f t="shared" si="136"/>
        <v>15084</v>
      </c>
      <c r="Q97" s="23">
        <f t="shared" si="136"/>
        <v>15359</v>
      </c>
      <c r="R97" s="14"/>
      <c r="S97" s="23">
        <f>+S90+S79</f>
        <v>15642</v>
      </c>
      <c r="T97" s="23">
        <f t="shared" ref="T97:V98" si="137">+T90+T79</f>
        <v>15919</v>
      </c>
      <c r="U97" s="23">
        <f t="shared" si="137"/>
        <v>16204</v>
      </c>
      <c r="V97" s="23">
        <f t="shared" si="137"/>
        <v>16509</v>
      </c>
      <c r="W97" s="14"/>
    </row>
    <row r="98" spans="1:23" outlineLevel="1" x14ac:dyDescent="0.25">
      <c r="A98" s="142"/>
      <c r="B98" s="279" t="s">
        <v>132</v>
      </c>
      <c r="C98" s="280"/>
      <c r="D98" s="144">
        <f t="shared" si="134"/>
        <v>360</v>
      </c>
      <c r="E98" s="144">
        <f t="shared" si="134"/>
        <v>253</v>
      </c>
      <c r="F98" s="144">
        <f t="shared" si="134"/>
        <v>308</v>
      </c>
      <c r="G98" s="144">
        <f t="shared" si="134"/>
        <v>416</v>
      </c>
      <c r="H98" s="33">
        <f>+H91+H80</f>
        <v>1337</v>
      </c>
      <c r="I98" s="144">
        <f>+I91+I80</f>
        <v>403</v>
      </c>
      <c r="J98" s="144">
        <f t="shared" si="135"/>
        <v>187</v>
      </c>
      <c r="K98" s="144">
        <f t="shared" si="135"/>
        <v>166</v>
      </c>
      <c r="L98" s="23">
        <f t="shared" si="135"/>
        <v>361</v>
      </c>
      <c r="M98" s="33">
        <f>+M91+M80</f>
        <v>1117</v>
      </c>
      <c r="N98" s="23">
        <f>+N91+N80</f>
        <v>324</v>
      </c>
      <c r="O98" s="23">
        <f t="shared" si="136"/>
        <v>210</v>
      </c>
      <c r="P98" s="23">
        <f t="shared" si="136"/>
        <v>244</v>
      </c>
      <c r="Q98" s="23">
        <f t="shared" si="136"/>
        <v>275</v>
      </c>
      <c r="R98" s="173">
        <f>+R91+R80</f>
        <v>1053</v>
      </c>
      <c r="S98" s="23">
        <f>+S91+S80</f>
        <v>283</v>
      </c>
      <c r="T98" s="23">
        <f t="shared" si="137"/>
        <v>277</v>
      </c>
      <c r="U98" s="23">
        <f t="shared" si="137"/>
        <v>285</v>
      </c>
      <c r="V98" s="23">
        <f t="shared" si="137"/>
        <v>305</v>
      </c>
      <c r="W98" s="33">
        <f>+W91+W80</f>
        <v>1150</v>
      </c>
    </row>
    <row r="99" spans="1:23" outlineLevel="1" x14ac:dyDescent="0.25">
      <c r="A99" s="142"/>
      <c r="B99" s="324" t="s">
        <v>133</v>
      </c>
      <c r="C99" s="325"/>
      <c r="D99" s="163">
        <f t="shared" ref="D99:G99" si="138">+D95+D94+D87</f>
        <v>1504</v>
      </c>
      <c r="E99" s="163">
        <f>+E95+E94+E87</f>
        <v>1529.4</v>
      </c>
      <c r="F99" s="163">
        <f t="shared" si="138"/>
        <v>1585.3</v>
      </c>
      <c r="G99" s="163">
        <f t="shared" si="138"/>
        <v>1572.1000000000001</v>
      </c>
      <c r="H99" s="99">
        <f>SUM(D99:G99)</f>
        <v>6190.8</v>
      </c>
      <c r="I99" s="163">
        <f>+I95+I94+I87</f>
        <v>1571.1</v>
      </c>
      <c r="J99" s="163">
        <f t="shared" ref="J99:L99" si="139">+J95+J94+J87</f>
        <v>1134.5999999999999</v>
      </c>
      <c r="K99" s="163">
        <f t="shared" si="139"/>
        <v>949.6</v>
      </c>
      <c r="L99" s="97">
        <f t="shared" si="139"/>
        <v>1492.3</v>
      </c>
      <c r="M99" s="99">
        <f>SUM(I99:L99)</f>
        <v>5147.5999999999995</v>
      </c>
      <c r="N99" s="97">
        <f>+N95+N94+N87</f>
        <v>1654.3</v>
      </c>
      <c r="O99" s="97">
        <f t="shared" ref="O99:Q99" si="140">+O95+O94+O87</f>
        <v>1187.9899729768454</v>
      </c>
      <c r="P99" s="97">
        <f t="shared" si="140"/>
        <v>1253.0542811032503</v>
      </c>
      <c r="Q99" s="97">
        <f t="shared" si="140"/>
        <v>1807.744723582452</v>
      </c>
      <c r="R99" s="99">
        <f>SUM(N99:Q99)</f>
        <v>5903.0889776625472</v>
      </c>
      <c r="S99" s="97">
        <f>+S95+S94+S87</f>
        <v>1971.3455840290055</v>
      </c>
      <c r="T99" s="97">
        <f t="shared" ref="T99:V99" si="141">+T95+T94+T87</f>
        <v>1379.8891152349529</v>
      </c>
      <c r="U99" s="97">
        <f t="shared" si="141"/>
        <v>1413.8336110760879</v>
      </c>
      <c r="V99" s="97">
        <f t="shared" si="141"/>
        <v>2046.8567451031081</v>
      </c>
      <c r="W99" s="99">
        <f>SUM(S99:V99)</f>
        <v>6811.9250554431546</v>
      </c>
    </row>
    <row r="100" spans="1:23" outlineLevel="1" x14ac:dyDescent="0.25">
      <c r="A100" s="142"/>
      <c r="B100" s="326" t="s">
        <v>66</v>
      </c>
      <c r="C100" s="327"/>
      <c r="D100" s="148">
        <v>462.7</v>
      </c>
      <c r="E100" s="148">
        <v>470.2</v>
      </c>
      <c r="F100" s="148">
        <v>476.1</v>
      </c>
      <c r="G100" s="148">
        <v>486.1</v>
      </c>
      <c r="H100" s="104">
        <f>SUM(D100:G100)</f>
        <v>1895.1</v>
      </c>
      <c r="I100" s="148">
        <v>488.5</v>
      </c>
      <c r="J100" s="148">
        <v>387.7</v>
      </c>
      <c r="K100" s="148">
        <v>337.7</v>
      </c>
      <c r="L100" s="63">
        <v>468</v>
      </c>
      <c r="M100" s="104">
        <f>SUM(I100:L100)</f>
        <v>1681.9</v>
      </c>
      <c r="N100" s="63">
        <v>520.4</v>
      </c>
      <c r="O100" s="63">
        <f>O101*O99</f>
        <v>403.91659081212748</v>
      </c>
      <c r="P100" s="63">
        <f t="shared" ref="P100:Q100" si="142">P101*P99</f>
        <v>426.03845557510516</v>
      </c>
      <c r="Q100" s="63">
        <f t="shared" si="142"/>
        <v>614.63320601803377</v>
      </c>
      <c r="R100" s="104">
        <f>SUM(N100:Q100)</f>
        <v>1964.9882524052664</v>
      </c>
      <c r="S100" s="63">
        <f>S101*S99</f>
        <v>670.25749856986192</v>
      </c>
      <c r="T100" s="63">
        <f>T101*T99</f>
        <v>469.16229917988403</v>
      </c>
      <c r="U100" s="63">
        <f t="shared" ref="U100" si="143">U101*U99</f>
        <v>480.70342776586989</v>
      </c>
      <c r="V100" s="63">
        <f t="shared" ref="V100" si="144">V101*V99</f>
        <v>695.93129333505681</v>
      </c>
      <c r="W100" s="104">
        <f>SUM(S100:V100)</f>
        <v>2316.054518850673</v>
      </c>
    </row>
    <row r="101" spans="1:23" s="260" customFormat="1" outlineLevel="1" x14ac:dyDescent="0.25">
      <c r="A101" s="261"/>
      <c r="B101" s="258" t="s">
        <v>116</v>
      </c>
      <c r="C101" s="259"/>
      <c r="D101" s="243">
        <f>D100/D99</f>
        <v>0.30764627659574467</v>
      </c>
      <c r="E101" s="243">
        <f t="shared" ref="E101:N101" si="145">E100/E99</f>
        <v>0.30744082646789589</v>
      </c>
      <c r="F101" s="243">
        <f t="shared" si="145"/>
        <v>0.30032170567085098</v>
      </c>
      <c r="G101" s="243">
        <f t="shared" si="145"/>
        <v>0.30920424909356908</v>
      </c>
      <c r="H101" s="267">
        <f>H100/H99</f>
        <v>0.30611552626477995</v>
      </c>
      <c r="I101" s="243">
        <f t="shared" si="145"/>
        <v>0.31092864871745912</v>
      </c>
      <c r="J101" s="243">
        <f t="shared" si="145"/>
        <v>0.34170632822139962</v>
      </c>
      <c r="K101" s="243">
        <f t="shared" si="145"/>
        <v>0.35562342038753159</v>
      </c>
      <c r="L101" s="266">
        <f t="shared" si="145"/>
        <v>0.31360986396837098</v>
      </c>
      <c r="M101" s="267">
        <f>M100/M99</f>
        <v>0.32673478902789654</v>
      </c>
      <c r="N101" s="266">
        <f t="shared" si="145"/>
        <v>0.31457414011968809</v>
      </c>
      <c r="O101" s="268">
        <v>0.34</v>
      </c>
      <c r="P101" s="268">
        <v>0.34</v>
      </c>
      <c r="Q101" s="268">
        <f>P101</f>
        <v>0.34</v>
      </c>
      <c r="R101" s="267">
        <f>R100/R99</f>
        <v>0.33287457801175563</v>
      </c>
      <c r="S101" s="268">
        <f>Q101</f>
        <v>0.34</v>
      </c>
      <c r="T101" s="268">
        <f>S101</f>
        <v>0.34</v>
      </c>
      <c r="U101" s="268">
        <f>T101</f>
        <v>0.34</v>
      </c>
      <c r="V101" s="268">
        <f>U101</f>
        <v>0.34</v>
      </c>
      <c r="W101" s="267">
        <f>W100/W99</f>
        <v>0.34000000000000008</v>
      </c>
    </row>
    <row r="102" spans="1:23" outlineLevel="1" x14ac:dyDescent="0.25">
      <c r="A102" s="142"/>
      <c r="B102" s="279" t="s">
        <v>67</v>
      </c>
      <c r="C102" s="25"/>
      <c r="D102" s="148">
        <v>603.70000000000005</v>
      </c>
      <c r="E102" s="148">
        <v>618.4</v>
      </c>
      <c r="F102" s="148">
        <v>609.20000000000005</v>
      </c>
      <c r="G102" s="148">
        <v>597.29999999999995</v>
      </c>
      <c r="H102" s="64">
        <f>SUM(D102:G102)</f>
        <v>2428.6</v>
      </c>
      <c r="I102" s="148">
        <v>607.1</v>
      </c>
      <c r="J102" s="148">
        <v>562.79999999999995</v>
      </c>
      <c r="K102" s="148">
        <v>483.4</v>
      </c>
      <c r="L102" s="63">
        <v>622.79999999999995</v>
      </c>
      <c r="M102" s="64">
        <f>SUM(I102:L102)</f>
        <v>2276.1000000000004</v>
      </c>
      <c r="N102" s="63">
        <v>628.5</v>
      </c>
      <c r="O102" s="63">
        <f>O103*O87</f>
        <v>490.27879621819108</v>
      </c>
      <c r="P102" s="63">
        <f t="shared" ref="P102:Q102" si="146">P103*P87</f>
        <v>469.72861492956008</v>
      </c>
      <c r="Q102" s="63">
        <f t="shared" si="146"/>
        <v>762.25450068555585</v>
      </c>
      <c r="R102" s="64">
        <f>SUM(N102:Q102)</f>
        <v>2350.7619118333068</v>
      </c>
      <c r="S102" s="63">
        <f>S103*S87</f>
        <v>834.88007435061877</v>
      </c>
      <c r="T102" s="63">
        <f>T103*T87</f>
        <v>560.7770301199846</v>
      </c>
      <c r="U102" s="63">
        <f t="shared" ref="U102" si="147">U103*U87</f>
        <v>545.82824060489543</v>
      </c>
      <c r="V102" s="63">
        <f t="shared" ref="V102" si="148">V103*V87</f>
        <v>858.68819059262898</v>
      </c>
      <c r="W102" s="64">
        <f>SUM(S102:V102)</f>
        <v>2800.1735356681279</v>
      </c>
    </row>
    <row r="103" spans="1:23" s="264" customFormat="1" outlineLevel="1" x14ac:dyDescent="0.25">
      <c r="A103" s="262"/>
      <c r="B103" s="258" t="s">
        <v>117</v>
      </c>
      <c r="C103" s="269"/>
      <c r="D103" s="266">
        <f>D102/D87</f>
        <v>0.47234175729598632</v>
      </c>
      <c r="E103" s="266">
        <f t="shared" ref="E103" si="149">E102/E87</f>
        <v>0.4722773789521918</v>
      </c>
      <c r="F103" s="266">
        <f t="shared" ref="F103" si="150">F102/F87</f>
        <v>0.45032525133057366</v>
      </c>
      <c r="G103" s="266">
        <f t="shared" ref="G103" si="151">G102/G87</f>
        <v>0.45390987157078799</v>
      </c>
      <c r="H103" s="267">
        <f>H102/H87</f>
        <v>0.46204482325634483</v>
      </c>
      <c r="I103" s="266">
        <f t="shared" ref="I103" si="152">I102/I87</f>
        <v>0.46354126899289916</v>
      </c>
      <c r="J103" s="266">
        <f t="shared" ref="J103" si="153">J102/J87</f>
        <v>0.62367021276595747</v>
      </c>
      <c r="K103" s="266">
        <f t="shared" ref="K103" si="154">K102/K87</f>
        <v>0.5521416333523701</v>
      </c>
      <c r="L103" s="266">
        <f t="shared" ref="L103" si="155">L102/L87</f>
        <v>0.47970422860663942</v>
      </c>
      <c r="M103" s="267">
        <f>M102/M87</f>
        <v>0.51895848058551275</v>
      </c>
      <c r="N103" s="266">
        <f>N102/N87</f>
        <v>0.43594367760282998</v>
      </c>
      <c r="O103" s="268">
        <v>0.51</v>
      </c>
      <c r="P103" s="268">
        <v>0.48</v>
      </c>
      <c r="Q103" s="268">
        <f>1.05*P103</f>
        <v>0.504</v>
      </c>
      <c r="R103" s="267">
        <f>R102/R87</f>
        <v>0.48033137487636723</v>
      </c>
      <c r="S103" s="268">
        <f>Q103</f>
        <v>0.504</v>
      </c>
      <c r="T103" s="268">
        <f>1.02*S103</f>
        <v>0.51407999999999998</v>
      </c>
      <c r="U103" s="268">
        <f>0.95*T103</f>
        <v>0.48837599999999998</v>
      </c>
      <c r="V103" s="268">
        <f>1.02*U103</f>
        <v>0.49814352000000001</v>
      </c>
      <c r="W103" s="267">
        <f>W102/W87</f>
        <v>0.50103661772589159</v>
      </c>
    </row>
    <row r="104" spans="1:23" outlineLevel="1" x14ac:dyDescent="0.25">
      <c r="A104" s="142"/>
      <c r="B104" s="279" t="s">
        <v>68</v>
      </c>
      <c r="C104" s="25"/>
      <c r="D104" s="148">
        <v>31.3</v>
      </c>
      <c r="E104" s="148">
        <v>26.3</v>
      </c>
      <c r="F104" s="148">
        <v>26.7</v>
      </c>
      <c r="G104" s="148">
        <v>31.9</v>
      </c>
      <c r="H104" s="64">
        <f>SUM(D104:G104)</f>
        <v>116.19999999999999</v>
      </c>
      <c r="I104" s="148">
        <v>35.9</v>
      </c>
      <c r="J104" s="148">
        <v>31.8</v>
      </c>
      <c r="K104" s="148">
        <v>37.5</v>
      </c>
      <c r="L104" s="63">
        <v>36.200000000000003</v>
      </c>
      <c r="M104" s="64">
        <f>SUM(I104:L104)</f>
        <v>141.4</v>
      </c>
      <c r="N104" s="63">
        <v>34.299999999999997</v>
      </c>
      <c r="O104" s="63">
        <f>O105*O99</f>
        <v>29.699749324421134</v>
      </c>
      <c r="P104" s="63">
        <f t="shared" ref="P104:Q104" si="156">P105*P99</f>
        <v>31.32635702758126</v>
      </c>
      <c r="Q104" s="63">
        <f t="shared" si="156"/>
        <v>45.193618089561305</v>
      </c>
      <c r="R104" s="64">
        <f>SUM(N104:Q104)</f>
        <v>140.51972444156371</v>
      </c>
      <c r="S104" s="63">
        <f>S105*S99</f>
        <v>49.283639600725138</v>
      </c>
      <c r="T104" s="63">
        <f>T105*T99</f>
        <v>34.497227880873822</v>
      </c>
      <c r="U104" s="63">
        <f t="shared" ref="U104" si="157">U105*U99</f>
        <v>35.345840276902202</v>
      </c>
      <c r="V104" s="63">
        <f t="shared" ref="V104" si="158">V105*V99</f>
        <v>51.171418627577708</v>
      </c>
      <c r="W104" s="64">
        <f>SUM(S104:V104)</f>
        <v>170.29812638607888</v>
      </c>
    </row>
    <row r="105" spans="1:23" s="264" customFormat="1" outlineLevel="1" x14ac:dyDescent="0.25">
      <c r="A105" s="262"/>
      <c r="B105" s="258" t="s">
        <v>118</v>
      </c>
      <c r="C105" s="269"/>
      <c r="D105" s="266">
        <f>D104/D99</f>
        <v>2.0811170212765958E-2</v>
      </c>
      <c r="E105" s="266">
        <f t="shared" ref="E105" si="159">E104/E99</f>
        <v>1.7196286125277887E-2</v>
      </c>
      <c r="F105" s="266">
        <f t="shared" ref="F105" si="160">F104/F99</f>
        <v>1.6842238062196431E-2</v>
      </c>
      <c r="G105" s="266">
        <f t="shared" ref="G105:H105" si="161">G104/G99</f>
        <v>2.0291330068061827E-2</v>
      </c>
      <c r="H105" s="267">
        <f t="shared" si="161"/>
        <v>1.8769787426503842E-2</v>
      </c>
      <c r="I105" s="266">
        <f t="shared" ref="I105" si="162">I104/I99</f>
        <v>2.2850232321303544E-2</v>
      </c>
      <c r="J105" s="266">
        <f t="shared" ref="J105" si="163">J104/J99</f>
        <v>2.8027498677948178E-2</v>
      </c>
      <c r="K105" s="266">
        <f t="shared" ref="K105" si="164">K104/K99</f>
        <v>3.9490311710193765E-2</v>
      </c>
      <c r="L105" s="266">
        <f t="shared" ref="L105:M105" si="165">L104/L99</f>
        <v>2.4257856999262885E-2</v>
      </c>
      <c r="M105" s="267">
        <f t="shared" si="165"/>
        <v>2.7469111819100167E-2</v>
      </c>
      <c r="N105" s="266">
        <f t="shared" ref="N105" si="166">N104/N99</f>
        <v>2.0733845130871061E-2</v>
      </c>
      <c r="O105" s="268">
        <v>2.5000000000000001E-2</v>
      </c>
      <c r="P105" s="268">
        <f>O105</f>
        <v>2.5000000000000001E-2</v>
      </c>
      <c r="Q105" s="268">
        <f>P105</f>
        <v>2.5000000000000001E-2</v>
      </c>
      <c r="R105" s="267">
        <f t="shared" ref="R105" si="167">R104/R99</f>
        <v>2.3804439501639608E-2</v>
      </c>
      <c r="S105" s="268">
        <f>Q105</f>
        <v>2.5000000000000001E-2</v>
      </c>
      <c r="T105" s="268">
        <f>S105</f>
        <v>2.5000000000000001E-2</v>
      </c>
      <c r="U105" s="268">
        <f>T105</f>
        <v>2.5000000000000001E-2</v>
      </c>
      <c r="V105" s="268">
        <f>U105</f>
        <v>2.5000000000000001E-2</v>
      </c>
      <c r="W105" s="267">
        <f t="shared" ref="W105" si="168">W104/W99</f>
        <v>2.5000000000000001E-2</v>
      </c>
    </row>
    <row r="106" spans="1:23" outlineLevel="1" x14ac:dyDescent="0.25">
      <c r="A106" s="142"/>
      <c r="B106" s="279" t="s">
        <v>69</v>
      </c>
      <c r="C106" s="25"/>
      <c r="D106" s="169">
        <v>127</v>
      </c>
      <c r="E106" s="169">
        <v>130.4</v>
      </c>
      <c r="F106" s="169">
        <v>127.7</v>
      </c>
      <c r="G106" s="169">
        <v>126.5</v>
      </c>
      <c r="H106" s="39">
        <f>SUM(D106:G106)</f>
        <v>511.59999999999997</v>
      </c>
      <c r="I106" s="169">
        <v>126.6</v>
      </c>
      <c r="J106" s="169">
        <v>130</v>
      </c>
      <c r="K106" s="169">
        <v>128.5</v>
      </c>
      <c r="L106" s="100">
        <v>133.1</v>
      </c>
      <c r="M106" s="39">
        <f>SUM(I106:L106)</f>
        <v>518.20000000000005</v>
      </c>
      <c r="N106" s="100">
        <v>140</v>
      </c>
      <c r="O106" s="276">
        <v>142.70934033709958</v>
      </c>
      <c r="P106" s="276">
        <v>144.01788882818119</v>
      </c>
      <c r="Q106" s="276">
        <v>145.60027899007537</v>
      </c>
      <c r="R106" s="39">
        <f>SUM(N106:Q106)</f>
        <v>572.3275081553561</v>
      </c>
      <c r="S106" s="276">
        <v>147.22927079161354</v>
      </c>
      <c r="T106" s="276">
        <v>148.34838279023612</v>
      </c>
      <c r="U106" s="276">
        <v>149.57468058706786</v>
      </c>
      <c r="V106" s="276">
        <v>151.05313053618994</v>
      </c>
      <c r="W106" s="39">
        <f>SUM(S106:V106)</f>
        <v>596.20546470510749</v>
      </c>
    </row>
    <row r="107" spans="1:23" outlineLevel="1" x14ac:dyDescent="0.25">
      <c r="A107" s="142"/>
      <c r="B107" s="279" t="s">
        <v>119</v>
      </c>
      <c r="C107" s="25"/>
      <c r="D107" s="148">
        <v>69.3</v>
      </c>
      <c r="E107" s="148">
        <v>80.2</v>
      </c>
      <c r="F107" s="148">
        <v>86</v>
      </c>
      <c r="G107" s="148">
        <v>82.4</v>
      </c>
      <c r="H107" s="64">
        <f>SUM(D107:G107)</f>
        <v>317.89999999999998</v>
      </c>
      <c r="I107" s="148">
        <v>67.2</v>
      </c>
      <c r="J107" s="148">
        <v>63.7</v>
      </c>
      <c r="K107" s="148">
        <v>66.099999999999994</v>
      </c>
      <c r="L107" s="63">
        <v>82.5</v>
      </c>
      <c r="M107" s="64">
        <f>SUM(I107:L107)</f>
        <v>279.5</v>
      </c>
      <c r="N107" s="63">
        <v>82.6</v>
      </c>
      <c r="O107" s="63">
        <f>O108*O99</f>
        <v>61.775478594795956</v>
      </c>
      <c r="P107" s="63">
        <f t="shared" ref="P107:Q107" si="169">P108*P99</f>
        <v>65.158822617369012</v>
      </c>
      <c r="Q107" s="63">
        <f t="shared" si="169"/>
        <v>94.0027256262875</v>
      </c>
      <c r="R107" s="64">
        <f>SUM(N107:Q107)</f>
        <v>303.53702683845245</v>
      </c>
      <c r="S107" s="63">
        <f>S108*S99</f>
        <v>102.50997036950828</v>
      </c>
      <c r="T107" s="63">
        <f>T108*T99</f>
        <v>71.75423399221755</v>
      </c>
      <c r="U107" s="63">
        <f t="shared" ref="U107" si="170">U108*U99</f>
        <v>73.519347775956561</v>
      </c>
      <c r="V107" s="63">
        <f t="shared" ref="V107" si="171">V108*V99</f>
        <v>106.43655074536161</v>
      </c>
      <c r="W107" s="64">
        <f>SUM(S107:V107)</f>
        <v>354.22010288304398</v>
      </c>
    </row>
    <row r="108" spans="1:23" s="264" customFormat="1" outlineLevel="1" x14ac:dyDescent="0.25">
      <c r="A108" s="262"/>
      <c r="B108" s="258" t="s">
        <v>120</v>
      </c>
      <c r="C108" s="269"/>
      <c r="D108" s="266">
        <f>D107/D99</f>
        <v>4.6077127659574467E-2</v>
      </c>
      <c r="E108" s="266">
        <f t="shared" ref="E108" si="172">E107/E99</f>
        <v>5.2438864914345497E-2</v>
      </c>
      <c r="F108" s="266">
        <f t="shared" ref="F108" si="173">F107/F99</f>
        <v>5.4248407241531571E-2</v>
      </c>
      <c r="G108" s="266">
        <f t="shared" ref="G108:H108" si="174">G107/G99</f>
        <v>5.2413968577062528E-2</v>
      </c>
      <c r="H108" s="267">
        <f t="shared" si="174"/>
        <v>5.1350390902629703E-2</v>
      </c>
      <c r="I108" s="266">
        <f t="shared" ref="I108" si="175">I107/I99</f>
        <v>4.277257972121444E-2</v>
      </c>
      <c r="J108" s="266">
        <f t="shared" ref="J108" si="176">J107/J99</f>
        <v>5.6143134144191795E-2</v>
      </c>
      <c r="K108" s="266">
        <f t="shared" ref="K108" si="177">K107/K99</f>
        <v>6.9608256107834873E-2</v>
      </c>
      <c r="L108" s="266">
        <f t="shared" ref="L108:M108" si="178">L107/L99</f>
        <v>5.5283790122629503E-2</v>
      </c>
      <c r="M108" s="267">
        <f t="shared" si="178"/>
        <v>5.4297148185562208E-2</v>
      </c>
      <c r="N108" s="266">
        <f t="shared" ref="N108" si="179">N107/N99</f>
        <v>4.9930484192709908E-2</v>
      </c>
      <c r="O108" s="268">
        <v>5.1999999999999998E-2</v>
      </c>
      <c r="P108" s="268">
        <f>O108</f>
        <v>5.1999999999999998E-2</v>
      </c>
      <c r="Q108" s="268">
        <f>P108</f>
        <v>5.1999999999999998E-2</v>
      </c>
      <c r="R108" s="267">
        <f t="shared" ref="R108" si="180">R107/R99</f>
        <v>5.1420032458776244E-2</v>
      </c>
      <c r="S108" s="268">
        <f>Q108</f>
        <v>5.1999999999999998E-2</v>
      </c>
      <c r="T108" s="268">
        <f>S108</f>
        <v>5.1999999999999998E-2</v>
      </c>
      <c r="U108" s="268">
        <f>T108</f>
        <v>5.1999999999999998E-2</v>
      </c>
      <c r="V108" s="268">
        <f>U108</f>
        <v>5.1999999999999998E-2</v>
      </c>
      <c r="W108" s="267">
        <f t="shared" ref="W108" si="181">W107/W99</f>
        <v>5.1999999999999991E-2</v>
      </c>
    </row>
    <row r="109" spans="1:23" ht="17.25" outlineLevel="1" x14ac:dyDescent="0.4">
      <c r="A109" s="142"/>
      <c r="B109" s="279" t="s">
        <v>71</v>
      </c>
      <c r="C109" s="25"/>
      <c r="D109" s="170">
        <v>6.4</v>
      </c>
      <c r="E109" s="170">
        <v>24.2</v>
      </c>
      <c r="F109" s="170">
        <v>16.600000000000001</v>
      </c>
      <c r="G109" s="170">
        <v>12</v>
      </c>
      <c r="H109" s="105">
        <f>SUM(D109:G109)</f>
        <v>59.2</v>
      </c>
      <c r="I109" s="170">
        <v>0.8</v>
      </c>
      <c r="J109" s="170">
        <v>-1.2</v>
      </c>
      <c r="K109" s="170">
        <v>-0.2</v>
      </c>
      <c r="L109" s="101">
        <v>-0.6</v>
      </c>
      <c r="M109" s="105">
        <f>SUM(I109:L109)</f>
        <v>-1.1999999999999997</v>
      </c>
      <c r="N109" s="101">
        <v>0</v>
      </c>
      <c r="O109" s="175">
        <v>0</v>
      </c>
      <c r="P109" s="175">
        <v>0</v>
      </c>
      <c r="Q109" s="175">
        <v>0</v>
      </c>
      <c r="R109" s="105">
        <f>SUM(N109:Q109)</f>
        <v>0</v>
      </c>
      <c r="S109" s="175">
        <v>0</v>
      </c>
      <c r="T109" s="175">
        <v>0</v>
      </c>
      <c r="U109" s="175">
        <v>0</v>
      </c>
      <c r="V109" s="175">
        <v>0</v>
      </c>
      <c r="W109" s="105">
        <f>SUM(S109:V109)</f>
        <v>0</v>
      </c>
    </row>
    <row r="110" spans="1:23" outlineLevel="1" x14ac:dyDescent="0.25">
      <c r="A110" s="142"/>
      <c r="B110" s="61" t="s">
        <v>134</v>
      </c>
      <c r="C110" s="26"/>
      <c r="D110" s="146">
        <f>D100+D102+D104+D106+D107+D109</f>
        <v>1300.4000000000001</v>
      </c>
      <c r="E110" s="146">
        <f t="shared" ref="E110:G110" si="182">E100+E102+E104+E106+E107+E109</f>
        <v>1349.7</v>
      </c>
      <c r="F110" s="146">
        <f t="shared" si="182"/>
        <v>1342.3000000000002</v>
      </c>
      <c r="G110" s="146">
        <f t="shared" si="182"/>
        <v>1336.2000000000003</v>
      </c>
      <c r="H110" s="247">
        <f>H100+H102+H104+H106+H107+H109</f>
        <v>5328.5999999999995</v>
      </c>
      <c r="I110" s="146">
        <f>I100+I102+I104+I106+I107+I109</f>
        <v>1326.1</v>
      </c>
      <c r="J110" s="146">
        <f t="shared" ref="J110" si="183">J100+J102+J104+J106+J107+J109</f>
        <v>1174.8</v>
      </c>
      <c r="K110" s="146">
        <f t="shared" ref="K110" si="184">K100+K102+K104+K106+K107+K109</f>
        <v>1052.9999999999998</v>
      </c>
      <c r="L110" s="146">
        <f t="shared" ref="L110" si="185">L100+L102+L104+L106+L107+L109</f>
        <v>1342</v>
      </c>
      <c r="M110" s="247">
        <f>M100+M102+M104+M106+M107+M109</f>
        <v>4895.9000000000005</v>
      </c>
      <c r="N110" s="146">
        <f>N100+N102+N104+N106+N107+N109</f>
        <v>1405.8</v>
      </c>
      <c r="O110" s="146">
        <f t="shared" ref="O110" si="186">O100+O102+O104+O106+O107+O109</f>
        <v>1128.3799552866351</v>
      </c>
      <c r="P110" s="146">
        <f t="shared" ref="P110" si="187">P100+P102+P104+P106+P107+P109</f>
        <v>1136.2701389777967</v>
      </c>
      <c r="Q110" s="146">
        <f t="shared" ref="Q110" si="188">Q100+Q102+Q104+Q106+Q107+Q109</f>
        <v>1661.6843294095138</v>
      </c>
      <c r="R110" s="247">
        <f>R100+R102+R104+R106+R107+R109</f>
        <v>5332.134423673946</v>
      </c>
      <c r="S110" s="146">
        <f>S100+S102+S104+S106+S107+S109</f>
        <v>1804.1604536823274</v>
      </c>
      <c r="T110" s="146">
        <f t="shared" ref="T110" si="189">T100+T102+T104+T106+T107+T109</f>
        <v>1284.5391739631962</v>
      </c>
      <c r="U110" s="146">
        <f t="shared" ref="U110" si="190">U100+U102+U104+U106+U107+U109</f>
        <v>1284.9715370106919</v>
      </c>
      <c r="V110" s="146">
        <f t="shared" ref="V110" si="191">V100+V102+V104+V106+V107+V109</f>
        <v>1863.2805838368149</v>
      </c>
      <c r="W110" s="247">
        <f>W100+W102+W104+W106+W107+W109</f>
        <v>6236.9517484930311</v>
      </c>
    </row>
    <row r="111" spans="1:23" ht="17.25" outlineLevel="1" x14ac:dyDescent="0.4">
      <c r="A111" s="142"/>
      <c r="B111" s="279" t="s">
        <v>73</v>
      </c>
      <c r="C111" s="25"/>
      <c r="D111" s="170">
        <v>26.4</v>
      </c>
      <c r="E111" s="147">
        <v>22.1</v>
      </c>
      <c r="F111" s="147">
        <v>27.2</v>
      </c>
      <c r="G111" s="147">
        <v>26.8</v>
      </c>
      <c r="H111" s="272">
        <f>SUM(D111:G111)</f>
        <v>102.5</v>
      </c>
      <c r="I111" s="147">
        <v>30.9</v>
      </c>
      <c r="J111" s="147">
        <v>24.8</v>
      </c>
      <c r="K111" s="147">
        <v>17.399999999999999</v>
      </c>
      <c r="L111" s="147">
        <v>29.2</v>
      </c>
      <c r="M111" s="272">
        <f>SUM(I111:L111)</f>
        <v>102.3</v>
      </c>
      <c r="N111" s="147">
        <v>26.3</v>
      </c>
      <c r="O111" s="71">
        <f>AVERAGE(N111,L111,K111,J111)</f>
        <v>24.425000000000001</v>
      </c>
      <c r="P111" s="71">
        <f>AVERAGE(O111,N111,L111,K111)</f>
        <v>24.331249999999997</v>
      </c>
      <c r="Q111" s="71">
        <f>AVERAGE(P111,O111,N111,L111)</f>
        <v>26.064062499999999</v>
      </c>
      <c r="R111" s="272">
        <f>SUM(N111:Q111)</f>
        <v>101.12031250000001</v>
      </c>
      <c r="S111" s="71">
        <f>AVERAGE(Q111,P111,O111,N111)</f>
        <v>25.280078124999999</v>
      </c>
      <c r="T111" s="71">
        <f>AVERAGE(S111,Q111,P111,O111)</f>
        <v>25.025097656249997</v>
      </c>
      <c r="U111" s="71">
        <f>AVERAGE(T111,S111,Q111,P111)</f>
        <v>25.175122070312501</v>
      </c>
      <c r="V111" s="71">
        <f>AVERAGE(U111,T111,S111,Q111)</f>
        <v>25.386090087890622</v>
      </c>
      <c r="W111" s="272">
        <f>SUM(S111:V111)</f>
        <v>100.86638793945312</v>
      </c>
    </row>
    <row r="112" spans="1:23" outlineLevel="1" x14ac:dyDescent="0.25">
      <c r="A112" s="142"/>
      <c r="B112" s="61" t="s">
        <v>135</v>
      </c>
      <c r="C112" s="57"/>
      <c r="D112" s="228">
        <f>+D99-D110+D111</f>
        <v>229.99999999999991</v>
      </c>
      <c r="E112" s="228">
        <f t="shared" ref="E112:V112" si="192">+E99-E110+E111</f>
        <v>201.80000000000004</v>
      </c>
      <c r="F112" s="228">
        <f t="shared" si="192"/>
        <v>270.19999999999976</v>
      </c>
      <c r="G112" s="228">
        <f t="shared" si="192"/>
        <v>262.69999999999987</v>
      </c>
      <c r="H112" s="128">
        <f>SUM(D112:G112)</f>
        <v>964.69999999999959</v>
      </c>
      <c r="I112" s="228">
        <f t="shared" si="192"/>
        <v>275.89999999999998</v>
      </c>
      <c r="J112" s="228">
        <f t="shared" si="192"/>
        <v>-15.400000000000045</v>
      </c>
      <c r="K112" s="228">
        <f>+K99-K110+K111</f>
        <v>-85.999999999999744</v>
      </c>
      <c r="L112" s="102">
        <f t="shared" si="192"/>
        <v>179.49999999999994</v>
      </c>
      <c r="M112" s="128">
        <f>SUM(I112:L112)</f>
        <v>354.00000000000011</v>
      </c>
      <c r="N112" s="102">
        <f t="shared" si="192"/>
        <v>274.8</v>
      </c>
      <c r="O112" s="102">
        <f t="shared" si="192"/>
        <v>84.035017690210267</v>
      </c>
      <c r="P112" s="102">
        <f t="shared" si="192"/>
        <v>141.11539212545364</v>
      </c>
      <c r="Q112" s="102">
        <f t="shared" si="192"/>
        <v>172.12445667293824</v>
      </c>
      <c r="R112" s="128">
        <f>SUM(N112:Q112)</f>
        <v>672.0748664886022</v>
      </c>
      <c r="S112" s="102">
        <f t="shared" si="192"/>
        <v>192.46520847167807</v>
      </c>
      <c r="T112" s="102">
        <f t="shared" si="192"/>
        <v>120.37503892800673</v>
      </c>
      <c r="U112" s="102">
        <f t="shared" si="192"/>
        <v>154.03719613570848</v>
      </c>
      <c r="V112" s="102">
        <f t="shared" si="192"/>
        <v>208.96225135418382</v>
      </c>
      <c r="W112" s="128">
        <f>SUM(S112:V112)</f>
        <v>675.83969488957712</v>
      </c>
    </row>
    <row r="113" spans="1:23" outlineLevel="1" x14ac:dyDescent="0.25">
      <c r="A113" s="142"/>
      <c r="B113" s="61" t="s">
        <v>136</v>
      </c>
      <c r="C113" s="57"/>
      <c r="D113" s="229">
        <f t="shared" ref="D113:G113" si="193">+D112/D99</f>
        <v>0.15292553191489355</v>
      </c>
      <c r="E113" s="229">
        <f t="shared" si="193"/>
        <v>0.1319471688243756</v>
      </c>
      <c r="F113" s="229">
        <f t="shared" si="193"/>
        <v>0.17044092600769556</v>
      </c>
      <c r="G113" s="229">
        <f t="shared" si="193"/>
        <v>0.16710132943196987</v>
      </c>
      <c r="H113" s="129">
        <f>H112/H99</f>
        <v>0.15582800284292814</v>
      </c>
      <c r="I113" s="229">
        <f t="shared" ref="I113:L113" si="194">+I112/I99</f>
        <v>0.17560944561135511</v>
      </c>
      <c r="J113" s="229">
        <f t="shared" si="194"/>
        <v>-1.3573065397496956E-2</v>
      </c>
      <c r="K113" s="229">
        <f t="shared" si="194"/>
        <v>-9.0564448188710761E-2</v>
      </c>
      <c r="L113" s="103">
        <f t="shared" si="194"/>
        <v>0.12028412517590294</v>
      </c>
      <c r="M113" s="129">
        <f>M112/M99</f>
        <v>6.8769912192089541E-2</v>
      </c>
      <c r="N113" s="103">
        <f t="shared" ref="N113:Q113" si="195">+N112/N99</f>
        <v>0.16611255515928189</v>
      </c>
      <c r="O113" s="103">
        <f t="shared" si="195"/>
        <v>7.0737143916826783E-2</v>
      </c>
      <c r="P113" s="103">
        <f t="shared" si="195"/>
        <v>0.11261714217297014</v>
      </c>
      <c r="Q113" s="103">
        <f t="shared" si="195"/>
        <v>9.521502368533262E-2</v>
      </c>
      <c r="R113" s="129">
        <f>R112/R99</f>
        <v>0.11385138679626076</v>
      </c>
      <c r="S113" s="103">
        <f t="shared" ref="S113:V113" si="196">+S112/S99</f>
        <v>9.7631389458524398E-2</v>
      </c>
      <c r="T113" s="103">
        <f t="shared" si="196"/>
        <v>8.7235298546079587E-2</v>
      </c>
      <c r="U113" s="103">
        <f t="shared" si="196"/>
        <v>0.10895001712292629</v>
      </c>
      <c r="V113" s="103">
        <f t="shared" si="196"/>
        <v>0.10208933861839832</v>
      </c>
      <c r="W113" s="129">
        <f>W112/W99</f>
        <v>9.9214200007902154E-2</v>
      </c>
    </row>
    <row r="114" spans="1:23" ht="18" x14ac:dyDescent="0.4">
      <c r="A114" s="142"/>
      <c r="B114" s="288" t="s">
        <v>137</v>
      </c>
      <c r="C114" s="289"/>
      <c r="D114" s="21" t="s">
        <v>42</v>
      </c>
      <c r="E114" s="21" t="s">
        <v>43</v>
      </c>
      <c r="F114" s="21" t="s">
        <v>44</v>
      </c>
      <c r="G114" s="21" t="s">
        <v>45</v>
      </c>
      <c r="H114" s="51" t="s">
        <v>46</v>
      </c>
      <c r="I114" s="21" t="s">
        <v>47</v>
      </c>
      <c r="J114" s="21" t="s">
        <v>48</v>
      </c>
      <c r="K114" s="21" t="s">
        <v>49</v>
      </c>
      <c r="L114" s="21" t="s">
        <v>50</v>
      </c>
      <c r="M114" s="51" t="s">
        <v>51</v>
      </c>
      <c r="N114" s="21" t="s">
        <v>52</v>
      </c>
      <c r="O114" s="19" t="s">
        <v>53</v>
      </c>
      <c r="P114" s="19" t="s">
        <v>54</v>
      </c>
      <c r="Q114" s="19" t="s">
        <v>55</v>
      </c>
      <c r="R114" s="53" t="s">
        <v>56</v>
      </c>
      <c r="S114" s="19" t="s">
        <v>57</v>
      </c>
      <c r="T114" s="19" t="s">
        <v>58</v>
      </c>
      <c r="U114" s="19" t="s">
        <v>59</v>
      </c>
      <c r="V114" s="19" t="s">
        <v>60</v>
      </c>
      <c r="W114" s="53" t="s">
        <v>61</v>
      </c>
    </row>
    <row r="115" spans="1:23" s="16" customFormat="1" outlineLevel="1" x14ac:dyDescent="0.25">
      <c r="A115" s="156"/>
      <c r="B115" s="296" t="s">
        <v>138</v>
      </c>
      <c r="C115" s="297"/>
      <c r="D115" s="65">
        <v>504.6</v>
      </c>
      <c r="E115" s="65">
        <v>446.6</v>
      </c>
      <c r="F115" s="146">
        <v>533.29999999999995</v>
      </c>
      <c r="G115" s="65">
        <v>508.1</v>
      </c>
      <c r="H115" s="39">
        <f>SUM(D115:G115)</f>
        <v>1992.6</v>
      </c>
      <c r="I115" s="65">
        <v>494.6</v>
      </c>
      <c r="J115" s="65">
        <v>519.1</v>
      </c>
      <c r="K115" s="65">
        <v>447.3</v>
      </c>
      <c r="L115" s="65">
        <v>464</v>
      </c>
      <c r="M115" s="39">
        <f>SUM(I115:L115)</f>
        <v>1925</v>
      </c>
      <c r="N115" s="65">
        <v>371.4</v>
      </c>
      <c r="O115" s="65">
        <f>+J115*(1+O116)</f>
        <v>373.75200000000001</v>
      </c>
      <c r="P115" s="65">
        <f>+K115*(1+P116)</f>
        <v>380.20499999999998</v>
      </c>
      <c r="Q115" s="65">
        <f>+L115*(1+Q116)</f>
        <v>440.79999999999995</v>
      </c>
      <c r="R115" s="337">
        <f>SUM(N115:Q115)</f>
        <v>1566.1569999999999</v>
      </c>
      <c r="S115" s="65">
        <f>+N115*(1+S116)</f>
        <v>341.68799999999999</v>
      </c>
      <c r="T115" s="65">
        <f>+O115*(1+T116)</f>
        <v>336.3768</v>
      </c>
      <c r="U115" s="65">
        <f>+P115*(1+U116)</f>
        <v>323.17424999999997</v>
      </c>
      <c r="V115" s="65">
        <f t="shared" ref="V115" si="197">+Q115*(1+V116)</f>
        <v>387.90399999999994</v>
      </c>
      <c r="W115" s="39">
        <f>SUM(S115:V115)</f>
        <v>1389.1430499999999</v>
      </c>
    </row>
    <row r="116" spans="1:23" outlineLevel="1" x14ac:dyDescent="0.25">
      <c r="A116" s="142"/>
      <c r="B116" s="94" t="s">
        <v>139</v>
      </c>
      <c r="C116" s="95"/>
      <c r="D116" s="171"/>
      <c r="E116" s="171"/>
      <c r="F116" s="171"/>
      <c r="G116" s="171"/>
      <c r="H116" s="73"/>
      <c r="I116" s="171">
        <f>I115/D115-1</f>
        <v>-1.9817677368212494E-2</v>
      </c>
      <c r="J116" s="171">
        <f t="shared" ref="J116" si="198">J115/E115-1</f>
        <v>0.16233766233766223</v>
      </c>
      <c r="K116" s="171">
        <f>K115/F115-1</f>
        <v>-0.1612600787549221</v>
      </c>
      <c r="L116" s="171">
        <f>L115/G115-1</f>
        <v>-8.6793938201141563E-2</v>
      </c>
      <c r="M116" s="244">
        <f>M115/H115-1</f>
        <v>-3.3925524440429511E-2</v>
      </c>
      <c r="N116" s="171">
        <f>N115/I115-1</f>
        <v>-0.24909017387788124</v>
      </c>
      <c r="O116" s="96">
        <v>-0.28000000000000003</v>
      </c>
      <c r="P116" s="96">
        <v>-0.15</v>
      </c>
      <c r="Q116" s="96">
        <v>-0.05</v>
      </c>
      <c r="R116" s="244">
        <f>R115/M115-1</f>
        <v>-0.18641194805194805</v>
      </c>
      <c r="S116" s="96">
        <v>-0.08</v>
      </c>
      <c r="T116" s="96">
        <v>-0.1</v>
      </c>
      <c r="U116" s="96">
        <v>-0.15</v>
      </c>
      <c r="V116" s="96">
        <v>-0.12</v>
      </c>
      <c r="W116" s="244">
        <f>W115/R115-1</f>
        <v>-0.113024396660105</v>
      </c>
    </row>
    <row r="117" spans="1:23" outlineLevel="1" x14ac:dyDescent="0.25">
      <c r="A117" s="142"/>
      <c r="B117" s="326" t="s">
        <v>66</v>
      </c>
      <c r="C117" s="327"/>
      <c r="D117" s="63">
        <v>348.4</v>
      </c>
      <c r="E117" s="63">
        <v>305.39999999999998</v>
      </c>
      <c r="F117" s="63">
        <v>377.1</v>
      </c>
      <c r="G117" s="63">
        <v>359.1</v>
      </c>
      <c r="H117" s="104">
        <f>SUM(D117:G117)</f>
        <v>1390</v>
      </c>
      <c r="I117" s="63">
        <v>338.8</v>
      </c>
      <c r="J117" s="63">
        <v>351.6</v>
      </c>
      <c r="K117" s="63">
        <v>319.89999999999998</v>
      </c>
      <c r="L117" s="63">
        <v>327.8</v>
      </c>
      <c r="M117" s="104">
        <f>SUM(I117:L117)</f>
        <v>1338.1000000000001</v>
      </c>
      <c r="N117" s="63">
        <v>233.5</v>
      </c>
      <c r="O117" s="63">
        <f>O118*O115</f>
        <v>261.62639999999999</v>
      </c>
      <c r="P117" s="63">
        <f t="shared" ref="P117:V117" si="199">P118*P115</f>
        <v>266.14349999999996</v>
      </c>
      <c r="Q117" s="63">
        <f>Q118*Q115</f>
        <v>308.55999999999995</v>
      </c>
      <c r="R117" s="104">
        <f>SUM(N117:Q117)</f>
        <v>1069.8299</v>
      </c>
      <c r="S117" s="63">
        <f t="shared" si="199"/>
        <v>239.18159999999997</v>
      </c>
      <c r="T117" s="63">
        <f t="shared" si="199"/>
        <v>235.46375999999998</v>
      </c>
      <c r="U117" s="63">
        <f t="shared" si="199"/>
        <v>226.22197499999996</v>
      </c>
      <c r="V117" s="63">
        <f t="shared" si="199"/>
        <v>271.53279999999995</v>
      </c>
      <c r="W117" s="104">
        <f>SUM(S117:V117)</f>
        <v>972.40013499999986</v>
      </c>
    </row>
    <row r="118" spans="1:23" s="260" customFormat="1" outlineLevel="1" x14ac:dyDescent="0.25">
      <c r="A118" s="261"/>
      <c r="B118" s="258" t="s">
        <v>116</v>
      </c>
      <c r="C118" s="259"/>
      <c r="D118" s="243">
        <f>D117/D115</f>
        <v>0.69044787950852149</v>
      </c>
      <c r="E118" s="243">
        <f t="shared" ref="E118:N118" si="200">E117/E115</f>
        <v>0.68383340797133896</v>
      </c>
      <c r="F118" s="243">
        <f t="shared" si="200"/>
        <v>0.70710669416838567</v>
      </c>
      <c r="G118" s="243">
        <f t="shared" si="200"/>
        <v>0.70675063963786655</v>
      </c>
      <c r="H118" s="267">
        <f t="shared" si="200"/>
        <v>0.69758104988457292</v>
      </c>
      <c r="I118" s="243">
        <f t="shared" si="200"/>
        <v>0.68499797816417307</v>
      </c>
      <c r="J118" s="243">
        <f t="shared" si="200"/>
        <v>0.6773261413985745</v>
      </c>
      <c r="K118" s="243">
        <f t="shared" si="200"/>
        <v>0.71517996870109535</v>
      </c>
      <c r="L118" s="266">
        <f t="shared" si="200"/>
        <v>0.70646551724137929</v>
      </c>
      <c r="M118" s="267">
        <f t="shared" si="200"/>
        <v>0.69511688311688313</v>
      </c>
      <c r="N118" s="266">
        <f t="shared" si="200"/>
        <v>0.62870220786214326</v>
      </c>
      <c r="O118" s="268">
        <v>0.7</v>
      </c>
      <c r="P118" s="268">
        <f>O118</f>
        <v>0.7</v>
      </c>
      <c r="Q118" s="268">
        <f>P118</f>
        <v>0.7</v>
      </c>
      <c r="R118" s="267">
        <f t="shared" ref="R118" si="201">R117/R115</f>
        <v>0.68309237196526273</v>
      </c>
      <c r="S118" s="268">
        <f>Q118</f>
        <v>0.7</v>
      </c>
      <c r="T118" s="268">
        <f>S118</f>
        <v>0.7</v>
      </c>
      <c r="U118" s="268">
        <f>T118</f>
        <v>0.7</v>
      </c>
      <c r="V118" s="268">
        <f>U118</f>
        <v>0.7</v>
      </c>
      <c r="W118" s="267">
        <f t="shared" ref="W118" si="202">W117/W115</f>
        <v>0.7</v>
      </c>
    </row>
    <row r="119" spans="1:23" outlineLevel="1" x14ac:dyDescent="0.25">
      <c r="A119" s="142"/>
      <c r="B119" s="279" t="s">
        <v>68</v>
      </c>
      <c r="C119" s="25"/>
      <c r="D119" s="63">
        <v>18.600000000000001</v>
      </c>
      <c r="E119" s="63">
        <v>17.100000000000001</v>
      </c>
      <c r="F119" s="63">
        <v>20.2</v>
      </c>
      <c r="G119" s="63">
        <v>20.3</v>
      </c>
      <c r="H119" s="64">
        <f>SUM(D119:G119)</f>
        <v>76.2</v>
      </c>
      <c r="I119" s="63">
        <v>20.6</v>
      </c>
      <c r="J119" s="63">
        <v>17.7</v>
      </c>
      <c r="K119" s="63">
        <v>51.4</v>
      </c>
      <c r="L119" s="63">
        <v>18.5</v>
      </c>
      <c r="M119" s="64">
        <f>SUM(I119:L119)</f>
        <v>108.19999999999999</v>
      </c>
      <c r="N119" s="63">
        <v>11.1</v>
      </c>
      <c r="O119" s="63">
        <f>O120*O115</f>
        <v>18.6876</v>
      </c>
      <c r="P119" s="63">
        <f t="shared" ref="P119:V119" si="203">P120*P115</f>
        <v>19.960762500000001</v>
      </c>
      <c r="Q119" s="63">
        <f t="shared" si="203"/>
        <v>20.8278</v>
      </c>
      <c r="R119" s="64">
        <f>SUM(N119:Q119)</f>
        <v>70.576162499999995</v>
      </c>
      <c r="S119" s="63">
        <f t="shared" si="203"/>
        <v>16.467653160000001</v>
      </c>
      <c r="T119" s="63">
        <f t="shared" si="203"/>
        <v>17.022263869800003</v>
      </c>
      <c r="U119" s="63">
        <f t="shared" si="203"/>
        <v>13.901029308534376</v>
      </c>
      <c r="V119" s="63">
        <f t="shared" si="203"/>
        <v>17.019023546447997</v>
      </c>
      <c r="W119" s="64">
        <f>SUM(S119:V119)</f>
        <v>64.409969884782384</v>
      </c>
    </row>
    <row r="120" spans="1:23" s="264" customFormat="1" outlineLevel="1" x14ac:dyDescent="0.25">
      <c r="A120" s="262"/>
      <c r="B120" s="258" t="s">
        <v>140</v>
      </c>
      <c r="C120" s="269"/>
      <c r="D120" s="266">
        <f>D119/D115</f>
        <v>3.6860879904875153E-2</v>
      </c>
      <c r="E120" s="266">
        <f t="shared" ref="E120:N120" si="204">E119/E115</f>
        <v>3.8289296909986566E-2</v>
      </c>
      <c r="F120" s="266">
        <f t="shared" si="204"/>
        <v>3.7877367335458469E-2</v>
      </c>
      <c r="G120" s="266">
        <f t="shared" si="204"/>
        <v>3.9952765203700058E-2</v>
      </c>
      <c r="H120" s="267">
        <f t="shared" si="204"/>
        <v>3.8241493526046375E-2</v>
      </c>
      <c r="I120" s="266">
        <f t="shared" si="204"/>
        <v>4.1649818034775576E-2</v>
      </c>
      <c r="J120" s="266">
        <f t="shared" si="204"/>
        <v>3.4097476401464072E-2</v>
      </c>
      <c r="K120" s="266">
        <f t="shared" si="204"/>
        <v>0.11491169237648111</v>
      </c>
      <c r="L120" s="266">
        <f t="shared" si="204"/>
        <v>3.9870689655172417E-2</v>
      </c>
      <c r="M120" s="267">
        <f t="shared" si="204"/>
        <v>5.62077922077922E-2</v>
      </c>
      <c r="N120" s="266">
        <f t="shared" si="204"/>
        <v>2.9886914378029081E-2</v>
      </c>
      <c r="O120" s="268">
        <v>0.05</v>
      </c>
      <c r="P120" s="268">
        <f>1.05*O120</f>
        <v>5.2500000000000005E-2</v>
      </c>
      <c r="Q120" s="268">
        <f>0.9*P120</f>
        <v>4.7250000000000007E-2</v>
      </c>
      <c r="R120" s="267">
        <f t="shared" ref="R120" si="205">R119/R115</f>
        <v>4.5063274307748202E-2</v>
      </c>
      <c r="S120" s="268">
        <f>1.02*Q120</f>
        <v>4.8195000000000009E-2</v>
      </c>
      <c r="T120" s="268">
        <f>1.05*S120</f>
        <v>5.0604750000000011E-2</v>
      </c>
      <c r="U120" s="268">
        <f>0.85*T120</f>
        <v>4.3014037500000005E-2</v>
      </c>
      <c r="V120" s="268">
        <f>1.02*U120</f>
        <v>4.3874318250000002E-2</v>
      </c>
      <c r="W120" s="267">
        <f t="shared" ref="W120" si="206">W119/W115</f>
        <v>4.6366693397618328E-2</v>
      </c>
    </row>
    <row r="121" spans="1:23" outlineLevel="1" x14ac:dyDescent="0.25">
      <c r="A121" s="142"/>
      <c r="B121" s="279" t="s">
        <v>69</v>
      </c>
      <c r="C121" s="25"/>
      <c r="D121" s="100">
        <v>0</v>
      </c>
      <c r="E121" s="100">
        <v>12.3</v>
      </c>
      <c r="F121" s="100">
        <v>0.2</v>
      </c>
      <c r="G121" s="100">
        <v>0.3</v>
      </c>
      <c r="H121" s="39">
        <f>SUM(D121:G121)</f>
        <v>12.8</v>
      </c>
      <c r="I121" s="100">
        <v>0.3</v>
      </c>
      <c r="J121" s="100">
        <v>0.3</v>
      </c>
      <c r="K121" s="100">
        <v>0.3</v>
      </c>
      <c r="L121" s="100">
        <v>0.3</v>
      </c>
      <c r="M121" s="39">
        <f>SUM(I121:L121)</f>
        <v>1.2</v>
      </c>
      <c r="N121" s="100">
        <v>0.2</v>
      </c>
      <c r="O121" s="276">
        <v>0.20387048619585654</v>
      </c>
      <c r="P121" s="276">
        <v>0.205739841183116</v>
      </c>
      <c r="Q121" s="276">
        <v>0.20800039855725058</v>
      </c>
      <c r="R121" s="39">
        <f>SUM(N121:Q121)</f>
        <v>0.81761072593622319</v>
      </c>
      <c r="S121" s="276">
        <v>0.21032752970230514</v>
      </c>
      <c r="T121" s="276">
        <v>0.2119262611289088</v>
      </c>
      <c r="U121" s="276">
        <v>0.21367811512438276</v>
      </c>
      <c r="V121" s="276">
        <v>0.21579018648027143</v>
      </c>
      <c r="W121" s="39">
        <f>SUM(S121:V121)</f>
        <v>0.85172209243586816</v>
      </c>
    </row>
    <row r="122" spans="1:23" outlineLevel="1" x14ac:dyDescent="0.25">
      <c r="A122" s="142"/>
      <c r="B122" s="279" t="s">
        <v>119</v>
      </c>
      <c r="C122" s="25"/>
      <c r="D122" s="63">
        <v>3.2</v>
      </c>
      <c r="E122" s="63">
        <v>3.1</v>
      </c>
      <c r="F122" s="63">
        <v>2.7</v>
      </c>
      <c r="G122" s="63">
        <v>2.6</v>
      </c>
      <c r="H122" s="64">
        <f>SUM(D122:G122)</f>
        <v>11.6</v>
      </c>
      <c r="I122" s="63">
        <v>2.4</v>
      </c>
      <c r="J122" s="63">
        <v>3</v>
      </c>
      <c r="K122" s="63">
        <v>2.5</v>
      </c>
      <c r="L122" s="63">
        <v>2.5</v>
      </c>
      <c r="M122" s="64">
        <f>SUM(I122:L122)</f>
        <v>10.4</v>
      </c>
      <c r="N122" s="63">
        <v>2.2000000000000002</v>
      </c>
      <c r="O122" s="63">
        <f>O123*O115</f>
        <v>2.2139321486268178</v>
      </c>
      <c r="P122" s="63">
        <f t="shared" ref="P122:V122" si="207">P123*P115</f>
        <v>2.252156704361874</v>
      </c>
      <c r="Q122" s="63">
        <f t="shared" si="207"/>
        <v>2.6110931610123855</v>
      </c>
      <c r="R122" s="64">
        <f>SUM(N122:Q122)</f>
        <v>9.2771820140010774</v>
      </c>
      <c r="S122" s="63">
        <f t="shared" si="207"/>
        <v>2.024</v>
      </c>
      <c r="T122" s="63">
        <f t="shared" si="207"/>
        <v>1.9925389337641359</v>
      </c>
      <c r="U122" s="63">
        <f t="shared" si="207"/>
        <v>1.9143331987075929</v>
      </c>
      <c r="V122" s="63">
        <f t="shared" si="207"/>
        <v>2.2977619816908992</v>
      </c>
      <c r="W122" s="64">
        <f>SUM(S122:V122)</f>
        <v>8.2286341141626274</v>
      </c>
    </row>
    <row r="123" spans="1:23" s="264" customFormat="1" outlineLevel="1" x14ac:dyDescent="0.25">
      <c r="A123" s="262"/>
      <c r="B123" s="258" t="s">
        <v>120</v>
      </c>
      <c r="C123" s="269"/>
      <c r="D123" s="266">
        <f>D122/D115</f>
        <v>6.3416567578279829E-3</v>
      </c>
      <c r="E123" s="266">
        <f t="shared" ref="E123:N123" si="208">E122/E115</f>
        <v>6.9413345275414241E-3</v>
      </c>
      <c r="F123" s="266">
        <f t="shared" si="208"/>
        <v>5.0628164260266275E-3</v>
      </c>
      <c r="G123" s="266">
        <f t="shared" si="208"/>
        <v>5.1171029324936033E-3</v>
      </c>
      <c r="H123" s="267">
        <f t="shared" si="208"/>
        <v>5.8215396968784505E-3</v>
      </c>
      <c r="I123" s="266">
        <f t="shared" si="208"/>
        <v>4.8524059846340476E-3</v>
      </c>
      <c r="J123" s="266">
        <f t="shared" si="208"/>
        <v>5.7792332883837404E-3</v>
      </c>
      <c r="K123" s="266">
        <f t="shared" si="208"/>
        <v>5.5890900961323492E-3</v>
      </c>
      <c r="L123" s="266">
        <f t="shared" si="208"/>
        <v>5.387931034482759E-3</v>
      </c>
      <c r="M123" s="267">
        <f t="shared" si="208"/>
        <v>5.4025974025974028E-3</v>
      </c>
      <c r="N123" s="266">
        <f t="shared" si="208"/>
        <v>5.9235325794291874E-3</v>
      </c>
      <c r="O123" s="268">
        <f>N123</f>
        <v>5.9235325794291874E-3</v>
      </c>
      <c r="P123" s="268">
        <f>O123</f>
        <v>5.9235325794291874E-3</v>
      </c>
      <c r="Q123" s="268">
        <f>P123</f>
        <v>5.9235325794291874E-3</v>
      </c>
      <c r="R123" s="267">
        <f t="shared" ref="R123" si="209">R122/R115</f>
        <v>5.9235325794291874E-3</v>
      </c>
      <c r="S123" s="268">
        <f>Q123</f>
        <v>5.9235325794291874E-3</v>
      </c>
      <c r="T123" s="268">
        <f>S123</f>
        <v>5.9235325794291874E-3</v>
      </c>
      <c r="U123" s="268">
        <f>T123</f>
        <v>5.9235325794291874E-3</v>
      </c>
      <c r="V123" s="268">
        <f>U123</f>
        <v>5.9235325794291874E-3</v>
      </c>
      <c r="W123" s="267">
        <f t="shared" ref="W123" si="210">W122/W115</f>
        <v>5.9235325794291865E-3</v>
      </c>
    </row>
    <row r="124" spans="1:23" ht="17.25" outlineLevel="1" x14ac:dyDescent="0.4">
      <c r="A124" s="142"/>
      <c r="B124" s="279" t="s">
        <v>71</v>
      </c>
      <c r="C124" s="25"/>
      <c r="D124" s="101">
        <v>0</v>
      </c>
      <c r="E124" s="101">
        <v>0</v>
      </c>
      <c r="F124" s="101">
        <v>0</v>
      </c>
      <c r="G124" s="101">
        <v>0</v>
      </c>
      <c r="H124" s="105">
        <f>SUM(D124:G124)</f>
        <v>0</v>
      </c>
      <c r="I124" s="101">
        <v>0</v>
      </c>
      <c r="J124" s="101">
        <v>0</v>
      </c>
      <c r="K124" s="101">
        <v>0</v>
      </c>
      <c r="L124" s="101">
        <v>0</v>
      </c>
      <c r="M124" s="105">
        <f>SUM(I124:L124)</f>
        <v>0</v>
      </c>
      <c r="N124" s="101">
        <v>0</v>
      </c>
      <c r="O124" s="175">
        <v>0</v>
      </c>
      <c r="P124" s="175">
        <v>0</v>
      </c>
      <c r="Q124" s="175">
        <v>0</v>
      </c>
      <c r="R124" s="105">
        <f>SUM(N124:Q124)</f>
        <v>0</v>
      </c>
      <c r="S124" s="175">
        <v>0</v>
      </c>
      <c r="T124" s="175">
        <v>0</v>
      </c>
      <c r="U124" s="175">
        <v>0</v>
      </c>
      <c r="V124" s="175">
        <v>0</v>
      </c>
      <c r="W124" s="105">
        <f>SUM(S124:V124)</f>
        <v>0</v>
      </c>
    </row>
    <row r="125" spans="1:23" outlineLevel="1" x14ac:dyDescent="0.25">
      <c r="A125" s="142"/>
      <c r="B125" s="61" t="s">
        <v>141</v>
      </c>
      <c r="C125" s="26"/>
      <c r="D125" s="65">
        <f>D117+D119+D121+D122+D124</f>
        <v>370.2</v>
      </c>
      <c r="E125" s="65">
        <f t="shared" ref="E125:W125" si="211">E117+E119+E121+E122+E124</f>
        <v>337.90000000000003</v>
      </c>
      <c r="F125" s="65">
        <f t="shared" si="211"/>
        <v>400.2</v>
      </c>
      <c r="G125" s="65">
        <f t="shared" si="211"/>
        <v>382.30000000000007</v>
      </c>
      <c r="H125" s="33">
        <f t="shared" si="211"/>
        <v>1490.6</v>
      </c>
      <c r="I125" s="65">
        <f t="shared" si="211"/>
        <v>362.1</v>
      </c>
      <c r="J125" s="65">
        <f t="shared" si="211"/>
        <v>372.6</v>
      </c>
      <c r="K125" s="65">
        <f t="shared" si="211"/>
        <v>374.09999999999997</v>
      </c>
      <c r="L125" s="65">
        <f t="shared" si="211"/>
        <v>349.1</v>
      </c>
      <c r="M125" s="33">
        <f t="shared" si="211"/>
        <v>1457.9000000000003</v>
      </c>
      <c r="N125" s="65">
        <f t="shared" si="211"/>
        <v>246.99999999999997</v>
      </c>
      <c r="O125" s="65">
        <f t="shared" si="211"/>
        <v>282.73180263482266</v>
      </c>
      <c r="P125" s="65">
        <f t="shared" si="211"/>
        <v>288.56215904554495</v>
      </c>
      <c r="Q125" s="65">
        <f>Q117+Q119+Q121+Q122+Q124</f>
        <v>332.20689355956961</v>
      </c>
      <c r="R125" s="33">
        <f t="shared" si="211"/>
        <v>1150.5008552399372</v>
      </c>
      <c r="S125" s="65">
        <f t="shared" si="211"/>
        <v>257.88358068970228</v>
      </c>
      <c r="T125" s="65">
        <f t="shared" si="211"/>
        <v>254.69048906469305</v>
      </c>
      <c r="U125" s="65">
        <f t="shared" si="211"/>
        <v>242.25101562236634</v>
      </c>
      <c r="V125" s="65">
        <f t="shared" si="211"/>
        <v>291.06537571461911</v>
      </c>
      <c r="W125" s="33">
        <f t="shared" si="211"/>
        <v>1045.8904610913808</v>
      </c>
    </row>
    <row r="126" spans="1:23" ht="17.25" outlineLevel="1" x14ac:dyDescent="0.4">
      <c r="A126" s="142"/>
      <c r="B126" s="62" t="s">
        <v>73</v>
      </c>
      <c r="C126" s="57"/>
      <c r="D126" s="67">
        <v>41.4</v>
      </c>
      <c r="E126" s="147">
        <v>40.200000000000003</v>
      </c>
      <c r="F126" s="147">
        <v>48.8</v>
      </c>
      <c r="G126" s="147">
        <v>65.099999999999994</v>
      </c>
      <c r="H126" s="272">
        <f>SUM(D126:G126)</f>
        <v>195.49999999999997</v>
      </c>
      <c r="I126" s="147">
        <v>43</v>
      </c>
      <c r="J126" s="147">
        <v>43.1</v>
      </c>
      <c r="K126" s="147">
        <v>51</v>
      </c>
      <c r="L126" s="147">
        <v>83</v>
      </c>
      <c r="M126" s="272">
        <f>SUM(I126:L126)</f>
        <v>220.1</v>
      </c>
      <c r="N126" s="147">
        <v>56.4</v>
      </c>
      <c r="O126" s="71">
        <f>AVERAGE(N126,L126,K126,J126)</f>
        <v>58.375</v>
      </c>
      <c r="P126" s="71">
        <f>AVERAGE(O126,N126,L126,K126)</f>
        <v>62.193750000000001</v>
      </c>
      <c r="Q126" s="71">
        <f>AVERAGE(P126,O126,N126,L126)</f>
        <v>64.9921875</v>
      </c>
      <c r="R126" s="272">
        <f>SUM(N126:Q126)</f>
        <v>241.9609375</v>
      </c>
      <c r="S126" s="71">
        <f>AVERAGE(Q126,P126,O126,N126)</f>
        <v>60.490234375</v>
      </c>
      <c r="T126" s="71">
        <f>AVERAGE(S126,Q126,P126,O126)</f>
        <v>61.512792968749999</v>
      </c>
      <c r="U126" s="71">
        <f>AVERAGE(T126,S126,Q126,P126)</f>
        <v>62.2972412109375</v>
      </c>
      <c r="V126" s="71">
        <f>AVERAGE(U126,T126,S126,Q126)</f>
        <v>62.323114013671876</v>
      </c>
      <c r="W126" s="272">
        <f>SUM(S126:V126)</f>
        <v>246.62338256835938</v>
      </c>
    </row>
    <row r="127" spans="1:23" outlineLevel="1" x14ac:dyDescent="0.25">
      <c r="A127" s="142"/>
      <c r="B127" s="61" t="s">
        <v>142</v>
      </c>
      <c r="C127" s="57"/>
      <c r="D127" s="228">
        <f t="shared" ref="D127:W127" si="212">D115-D125+D126</f>
        <v>175.80000000000004</v>
      </c>
      <c r="E127" s="228">
        <f t="shared" si="212"/>
        <v>148.89999999999998</v>
      </c>
      <c r="F127" s="228">
        <f t="shared" si="212"/>
        <v>181.89999999999998</v>
      </c>
      <c r="G127" s="228">
        <f t="shared" si="212"/>
        <v>190.89999999999995</v>
      </c>
      <c r="H127" s="128">
        <f t="shared" si="212"/>
        <v>697.5</v>
      </c>
      <c r="I127" s="228">
        <f t="shared" si="212"/>
        <v>175.5</v>
      </c>
      <c r="J127" s="228">
        <f t="shared" si="212"/>
        <v>189.6</v>
      </c>
      <c r="K127" s="228">
        <f t="shared" si="212"/>
        <v>124.20000000000005</v>
      </c>
      <c r="L127" s="102">
        <f t="shared" si="212"/>
        <v>197.89999999999998</v>
      </c>
      <c r="M127" s="128">
        <f t="shared" si="212"/>
        <v>687.1999999999997</v>
      </c>
      <c r="N127" s="102">
        <f t="shared" si="212"/>
        <v>180.8</v>
      </c>
      <c r="O127" s="102">
        <f t="shared" si="212"/>
        <v>149.39519736517735</v>
      </c>
      <c r="P127" s="102">
        <f t="shared" si="212"/>
        <v>153.83659095445503</v>
      </c>
      <c r="Q127" s="102">
        <f t="shared" si="212"/>
        <v>173.58529394043035</v>
      </c>
      <c r="R127" s="128">
        <f t="shared" si="212"/>
        <v>657.61708226006272</v>
      </c>
      <c r="S127" s="102">
        <f t="shared" si="212"/>
        <v>144.2946536852977</v>
      </c>
      <c r="T127" s="102">
        <f t="shared" si="212"/>
        <v>143.19910390405695</v>
      </c>
      <c r="U127" s="102">
        <f t="shared" si="212"/>
        <v>143.22047558857113</v>
      </c>
      <c r="V127" s="102">
        <f t="shared" si="212"/>
        <v>159.1617382990527</v>
      </c>
      <c r="W127" s="128">
        <f t="shared" si="212"/>
        <v>589.87597147697852</v>
      </c>
    </row>
    <row r="128" spans="1:23" outlineLevel="1" x14ac:dyDescent="0.25">
      <c r="A128" s="142"/>
      <c r="B128" s="61" t="s">
        <v>143</v>
      </c>
      <c r="C128" s="57"/>
      <c r="D128" s="229">
        <f>+D127/D115</f>
        <v>0.34839476813317488</v>
      </c>
      <c r="E128" s="229">
        <f>+E127/E115</f>
        <v>0.33340797133900574</v>
      </c>
      <c r="F128" s="229">
        <f>+F127/F115</f>
        <v>0.34108381773860863</v>
      </c>
      <c r="G128" s="229">
        <f>+G127/G115</f>
        <v>0.37571344223578024</v>
      </c>
      <c r="H128" s="178">
        <f>H127/H115</f>
        <v>0.35004516711833789</v>
      </c>
      <c r="I128" s="229">
        <f t="shared" ref="I128:W128" si="213">+I127/I115</f>
        <v>0.3548321876263647</v>
      </c>
      <c r="J128" s="229">
        <f t="shared" si="213"/>
        <v>0.36524754382585239</v>
      </c>
      <c r="K128" s="229">
        <f t="shared" si="213"/>
        <v>0.27766599597585523</v>
      </c>
      <c r="L128" s="103">
        <f t="shared" si="213"/>
        <v>0.42650862068965512</v>
      </c>
      <c r="M128" s="129">
        <f t="shared" si="213"/>
        <v>0.35698701298701285</v>
      </c>
      <c r="N128" s="103">
        <f t="shared" si="213"/>
        <v>0.48680667743672595</v>
      </c>
      <c r="O128" s="103">
        <f t="shared" si="213"/>
        <v>0.39971745265624625</v>
      </c>
      <c r="P128" s="103">
        <f t="shared" si="213"/>
        <v>0.40461485502414496</v>
      </c>
      <c r="Q128" s="103">
        <f t="shared" si="213"/>
        <v>0.3937960388848239</v>
      </c>
      <c r="R128" s="129">
        <f t="shared" si="213"/>
        <v>0.4198921833890617</v>
      </c>
      <c r="S128" s="103">
        <f t="shared" si="213"/>
        <v>0.42229944769877115</v>
      </c>
      <c r="T128" s="103">
        <f t="shared" si="213"/>
        <v>0.42571040542646504</v>
      </c>
      <c r="U128" s="103">
        <f t="shared" si="213"/>
        <v>0.44316796770959055</v>
      </c>
      <c r="V128" s="103">
        <f t="shared" si="213"/>
        <v>0.41031218626013838</v>
      </c>
      <c r="W128" s="129">
        <f t="shared" si="213"/>
        <v>0.4246329933241782</v>
      </c>
    </row>
    <row r="129" spans="1:23" ht="18" x14ac:dyDescent="0.4">
      <c r="A129" s="142"/>
      <c r="B129" s="288" t="s">
        <v>144</v>
      </c>
      <c r="C129" s="289"/>
      <c r="D129" s="21" t="s">
        <v>42</v>
      </c>
      <c r="E129" s="21" t="s">
        <v>43</v>
      </c>
      <c r="F129" s="21" t="s">
        <v>44</v>
      </c>
      <c r="G129" s="21" t="s">
        <v>45</v>
      </c>
      <c r="H129" s="51" t="s">
        <v>46</v>
      </c>
      <c r="I129" s="21" t="s">
        <v>47</v>
      </c>
      <c r="J129" s="21" t="s">
        <v>48</v>
      </c>
      <c r="K129" s="21" t="s">
        <v>49</v>
      </c>
      <c r="L129" s="21" t="s">
        <v>50</v>
      </c>
      <c r="M129" s="51" t="s">
        <v>51</v>
      </c>
      <c r="N129" s="21" t="s">
        <v>52</v>
      </c>
      <c r="O129" s="19" t="s">
        <v>53</v>
      </c>
      <c r="P129" s="19" t="s">
        <v>54</v>
      </c>
      <c r="Q129" s="19" t="s">
        <v>55</v>
      </c>
      <c r="R129" s="53" t="s">
        <v>56</v>
      </c>
      <c r="S129" s="19" t="s">
        <v>57</v>
      </c>
      <c r="T129" s="19" t="s">
        <v>58</v>
      </c>
      <c r="U129" s="19" t="s">
        <v>59</v>
      </c>
      <c r="V129" s="19" t="s">
        <v>60</v>
      </c>
      <c r="W129" s="53" t="s">
        <v>61</v>
      </c>
    </row>
    <row r="130" spans="1:23" s="16" customFormat="1" outlineLevel="1" x14ac:dyDescent="0.25">
      <c r="A130" s="156"/>
      <c r="B130" s="318" t="s">
        <v>145</v>
      </c>
      <c r="C130" s="319"/>
      <c r="D130" s="63">
        <v>11.6</v>
      </c>
      <c r="E130" s="63">
        <v>15.8</v>
      </c>
      <c r="F130" s="63">
        <v>23.3</v>
      </c>
      <c r="G130" s="63">
        <v>15.4</v>
      </c>
      <c r="H130" s="39">
        <f>SUM(D130:G130)</f>
        <v>66.100000000000009</v>
      </c>
      <c r="I130" s="63">
        <v>20.5</v>
      </c>
      <c r="J130" s="63">
        <v>12</v>
      </c>
      <c r="K130" s="63">
        <v>19.7</v>
      </c>
      <c r="L130" s="63">
        <v>13.9</v>
      </c>
      <c r="M130" s="39">
        <f>SUM(I130:L130)</f>
        <v>66.100000000000009</v>
      </c>
      <c r="N130" s="63">
        <v>20.5</v>
      </c>
      <c r="O130" s="63">
        <f>+J130*(1+O131)</f>
        <v>13.200000000000001</v>
      </c>
      <c r="P130" s="63">
        <f>+K130*(1+P131)</f>
        <v>21.67</v>
      </c>
      <c r="Q130" s="63">
        <f t="shared" ref="Q130" si="214">+L130*(1+Q131)</f>
        <v>15.290000000000001</v>
      </c>
      <c r="R130" s="39">
        <f>SUM(N130:Q130)</f>
        <v>70.660000000000011</v>
      </c>
      <c r="S130" s="63">
        <f>+N130*(1+S131)</f>
        <v>22.55</v>
      </c>
      <c r="T130" s="63">
        <f>+O130*(1+T131)</f>
        <v>14.520000000000003</v>
      </c>
      <c r="U130" s="63">
        <f>+P130*(1+U131)</f>
        <v>23.837000000000003</v>
      </c>
      <c r="V130" s="63">
        <f t="shared" ref="V130" si="215">+Q130*(1+V131)</f>
        <v>16.819000000000003</v>
      </c>
      <c r="W130" s="39">
        <f>SUM(S130:V130)</f>
        <v>77.726000000000013</v>
      </c>
    </row>
    <row r="131" spans="1:23" s="16" customFormat="1" outlineLevel="1" x14ac:dyDescent="0.25">
      <c r="A131" s="156"/>
      <c r="B131" s="49" t="s">
        <v>146</v>
      </c>
      <c r="C131" s="278"/>
      <c r="D131" s="38"/>
      <c r="E131" s="38"/>
      <c r="F131" s="38"/>
      <c r="G131" s="167"/>
      <c r="H131" s="188"/>
      <c r="I131" s="167">
        <f t="shared" ref="I131:J131" si="216">I130/D130-1</f>
        <v>0.76724137931034497</v>
      </c>
      <c r="J131" s="167">
        <f t="shared" si="216"/>
        <v>-0.24050632911392411</v>
      </c>
      <c r="K131" s="167">
        <f>K130/F130-1</f>
        <v>-0.15450643776824036</v>
      </c>
      <c r="L131" s="167">
        <f>L130/G130-1</f>
        <v>-9.740259740259738E-2</v>
      </c>
      <c r="M131" s="181">
        <f>M130/H130-1</f>
        <v>0</v>
      </c>
      <c r="N131" s="167">
        <f t="shared" ref="N131" si="217">N130/I130-1</f>
        <v>0</v>
      </c>
      <c r="O131" s="42">
        <v>0.1</v>
      </c>
      <c r="P131" s="42">
        <v>0.1</v>
      </c>
      <c r="Q131" s="42">
        <v>0.1</v>
      </c>
      <c r="R131" s="181">
        <f>R130/M130-1</f>
        <v>6.8986384266263245E-2</v>
      </c>
      <c r="S131" s="42">
        <v>0.1</v>
      </c>
      <c r="T131" s="42">
        <v>0.1</v>
      </c>
      <c r="U131" s="42">
        <f>AVERAGE(T131,S131,Q131,P131)</f>
        <v>0.1</v>
      </c>
      <c r="V131" s="42">
        <f>AVERAGE(U131,T131,S131,Q131)</f>
        <v>0.1</v>
      </c>
      <c r="W131" s="181">
        <f>W130/R130-1</f>
        <v>0.10000000000000009</v>
      </c>
    </row>
    <row r="132" spans="1:23" outlineLevel="1" x14ac:dyDescent="0.25">
      <c r="A132" s="142"/>
      <c r="B132" s="326" t="s">
        <v>66</v>
      </c>
      <c r="C132" s="327"/>
      <c r="D132" s="63">
        <v>13.4</v>
      </c>
      <c r="E132" s="63">
        <v>15.9</v>
      </c>
      <c r="F132" s="63">
        <v>22.4</v>
      </c>
      <c r="G132" s="148">
        <v>15.5</v>
      </c>
      <c r="H132" s="246"/>
      <c r="I132" s="148">
        <v>20.7</v>
      </c>
      <c r="J132" s="148">
        <v>10.199999999999999</v>
      </c>
      <c r="K132" s="148">
        <v>20.8</v>
      </c>
      <c r="L132" s="148">
        <v>11.6</v>
      </c>
      <c r="M132" s="39">
        <f>SUM(I132:L132)</f>
        <v>63.300000000000004</v>
      </c>
      <c r="N132" s="148">
        <v>19</v>
      </c>
      <c r="O132" s="125">
        <v>20</v>
      </c>
      <c r="P132" s="125">
        <v>20</v>
      </c>
      <c r="Q132" s="125">
        <f>AVERAGE(P132,O132,N132,L132)</f>
        <v>17.649999999999999</v>
      </c>
      <c r="R132" s="39">
        <f>SUM(N132:Q132)</f>
        <v>76.650000000000006</v>
      </c>
      <c r="S132" s="125">
        <f>AVERAGE(Q132,P132,O132,N132)</f>
        <v>19.162500000000001</v>
      </c>
      <c r="T132" s="125">
        <f>AVERAGE(S132,Q132,P132,O132)</f>
        <v>19.203125</v>
      </c>
      <c r="U132" s="125">
        <f>AVERAGE(T132,S132,Q132,P132)</f>
        <v>19.00390625</v>
      </c>
      <c r="V132" s="125">
        <f>AVERAGE(U132,T132,S132,Q132)</f>
        <v>18.7548828125</v>
      </c>
      <c r="W132" s="39">
        <f>SUM(S132:V132)</f>
        <v>76.124414062499994</v>
      </c>
    </row>
    <row r="133" spans="1:23" outlineLevel="1" x14ac:dyDescent="0.25">
      <c r="A133" s="142"/>
      <c r="B133" s="279" t="s">
        <v>68</v>
      </c>
      <c r="C133" s="25"/>
      <c r="D133" s="63">
        <v>3.2</v>
      </c>
      <c r="E133" s="63">
        <v>4.3</v>
      </c>
      <c r="F133" s="63">
        <v>5.8</v>
      </c>
      <c r="G133" s="148">
        <f>5.2+0.1</f>
        <v>5.3</v>
      </c>
      <c r="H133" s="246"/>
      <c r="I133" s="148">
        <v>2.8</v>
      </c>
      <c r="J133" s="148">
        <v>3.7</v>
      </c>
      <c r="K133" s="148">
        <v>4</v>
      </c>
      <c r="L133" s="148">
        <v>3.4</v>
      </c>
      <c r="M133" s="39">
        <f t="shared" ref="M133:M136" si="218">SUM(I133:L133)</f>
        <v>13.9</v>
      </c>
      <c r="N133" s="148">
        <v>3.6</v>
      </c>
      <c r="O133" s="125">
        <v>4</v>
      </c>
      <c r="P133" s="125">
        <v>4</v>
      </c>
      <c r="Q133" s="125">
        <f t="shared" ref="Q133" si="219">AVERAGE(P133,O133,N133,L133)</f>
        <v>3.75</v>
      </c>
      <c r="R133" s="39">
        <f t="shared" ref="R133:R136" si="220">SUM(N133:Q133)</f>
        <v>15.35</v>
      </c>
      <c r="S133" s="125">
        <f t="shared" ref="S133" si="221">AVERAGE(Q133,P133,O133,N133)</f>
        <v>3.8374999999999999</v>
      </c>
      <c r="T133" s="125">
        <f t="shared" ref="T133" si="222">AVERAGE(S133,Q133,P133,O133)</f>
        <v>3.8968750000000001</v>
      </c>
      <c r="U133" s="125">
        <f t="shared" ref="U133" si="223">AVERAGE(T133,S133,Q133,P133)</f>
        <v>3.87109375</v>
      </c>
      <c r="V133" s="125">
        <f t="shared" ref="V133" si="224">AVERAGE(U133,T133,S133,Q133)</f>
        <v>3.8388671875</v>
      </c>
      <c r="W133" s="39">
        <f t="shared" ref="W133:W136" si="225">SUM(S133:V133)</f>
        <v>15.4443359375</v>
      </c>
    </row>
    <row r="134" spans="1:23" outlineLevel="1" x14ac:dyDescent="0.25">
      <c r="A134" s="142"/>
      <c r="B134" s="279" t="s">
        <v>69</v>
      </c>
      <c r="C134" s="25"/>
      <c r="D134" s="100">
        <v>39.5</v>
      </c>
      <c r="E134" s="100">
        <v>40.5</v>
      </c>
      <c r="F134" s="100">
        <v>39.6</v>
      </c>
      <c r="G134" s="169">
        <v>37.299999999999997</v>
      </c>
      <c r="H134" s="188"/>
      <c r="I134" s="169">
        <v>34.9</v>
      </c>
      <c r="J134" s="169">
        <v>34.5</v>
      </c>
      <c r="K134" s="169">
        <v>40.9</v>
      </c>
      <c r="L134" s="169">
        <v>39.5</v>
      </c>
      <c r="M134" s="39">
        <f t="shared" si="218"/>
        <v>149.80000000000001</v>
      </c>
      <c r="N134" s="169">
        <v>37</v>
      </c>
      <c r="O134" s="276">
        <v>37.716039946233458</v>
      </c>
      <c r="P134" s="276">
        <v>38.061870618876455</v>
      </c>
      <c r="Q134" s="276">
        <v>38.480073733091352</v>
      </c>
      <c r="R134" s="39">
        <f t="shared" si="220"/>
        <v>151.25798429820125</v>
      </c>
      <c r="S134" s="276">
        <v>38.910592994926446</v>
      </c>
      <c r="T134" s="276">
        <v>39.206358308848124</v>
      </c>
      <c r="U134" s="276">
        <v>39.530451298010803</v>
      </c>
      <c r="V134" s="276">
        <v>39.921184498850209</v>
      </c>
      <c r="W134" s="39">
        <f t="shared" si="225"/>
        <v>157.56858710063557</v>
      </c>
    </row>
    <row r="135" spans="1:23" outlineLevel="1" x14ac:dyDescent="0.25">
      <c r="A135" s="142"/>
      <c r="B135" s="279" t="s">
        <v>119</v>
      </c>
      <c r="C135" s="25"/>
      <c r="D135" s="63">
        <v>300.39999999999998</v>
      </c>
      <c r="E135" s="63">
        <v>303.89999999999998</v>
      </c>
      <c r="F135" s="63">
        <v>299</v>
      </c>
      <c r="G135" s="148">
        <v>267.39999999999998</v>
      </c>
      <c r="H135" s="246"/>
      <c r="I135" s="148">
        <v>292.2</v>
      </c>
      <c r="J135" s="148">
        <v>271.60000000000002</v>
      </c>
      <c r="K135" s="148">
        <v>269.10000000000002</v>
      </c>
      <c r="L135" s="148">
        <v>288.8</v>
      </c>
      <c r="M135" s="39">
        <f t="shared" si="218"/>
        <v>1121.7</v>
      </c>
      <c r="N135" s="148">
        <v>316.5</v>
      </c>
      <c r="O135" s="125">
        <v>300</v>
      </c>
      <c r="P135" s="125">
        <v>300</v>
      </c>
      <c r="Q135" s="125">
        <f>AVERAGE(P135,O135,N135,L135)-20</f>
        <v>281.32499999999999</v>
      </c>
      <c r="R135" s="39">
        <f t="shared" si="220"/>
        <v>1197.825</v>
      </c>
      <c r="S135" s="125">
        <f t="shared" ref="S135:S136" si="226">AVERAGE(Q135,P135,O135,N135)</f>
        <v>299.45625000000001</v>
      </c>
      <c r="T135" s="125">
        <f t="shared" ref="T135:T136" si="227">AVERAGE(S135,Q135,P135,O135)</f>
        <v>295.1953125</v>
      </c>
      <c r="U135" s="125">
        <f t="shared" ref="U135:U136" si="228">AVERAGE(T135,S135,Q135,P135)</f>
        <v>293.994140625</v>
      </c>
      <c r="V135" s="125">
        <f t="shared" ref="V135:V136" si="229">AVERAGE(U135,T135,S135,Q135)</f>
        <v>292.49267578125</v>
      </c>
      <c r="W135" s="39">
        <f t="shared" si="225"/>
        <v>1181.13837890625</v>
      </c>
    </row>
    <row r="136" spans="1:23" ht="17.25" outlineLevel="1" x14ac:dyDescent="0.4">
      <c r="A136" s="142"/>
      <c r="B136" s="279" t="s">
        <v>71</v>
      </c>
      <c r="C136" s="25"/>
      <c r="D136" s="170">
        <v>13.9</v>
      </c>
      <c r="E136" s="170">
        <v>0.6</v>
      </c>
      <c r="F136" s="170">
        <v>6</v>
      </c>
      <c r="G136" s="170">
        <v>-0.9</v>
      </c>
      <c r="H136" s="189"/>
      <c r="I136" s="170">
        <v>0.3</v>
      </c>
      <c r="J136" s="170">
        <v>0</v>
      </c>
      <c r="K136" s="170">
        <v>22.1</v>
      </c>
      <c r="L136" s="170">
        <v>0</v>
      </c>
      <c r="M136" s="272">
        <f t="shared" si="218"/>
        <v>22.400000000000002</v>
      </c>
      <c r="N136" s="170">
        <v>0</v>
      </c>
      <c r="O136" s="175">
        <f t="shared" ref="O136" si="230">AVERAGE(N136,L136,K136,J136)</f>
        <v>5.5250000000000004</v>
      </c>
      <c r="P136" s="175">
        <f t="shared" ref="P136" si="231">AVERAGE(O136,N136,L136,K136)</f>
        <v>6.90625</v>
      </c>
      <c r="Q136" s="175">
        <f t="shared" ref="Q136" si="232">AVERAGE(P136,O136,N136,L136)</f>
        <v>3.1078125000000001</v>
      </c>
      <c r="R136" s="272">
        <f t="shared" si="220"/>
        <v>15.5390625</v>
      </c>
      <c r="S136" s="175">
        <f t="shared" si="226"/>
        <v>3.884765625</v>
      </c>
      <c r="T136" s="175">
        <f t="shared" si="227"/>
        <v>4.85595703125</v>
      </c>
      <c r="U136" s="175">
        <f t="shared" si="228"/>
        <v>4.6886962890625004</v>
      </c>
      <c r="V136" s="175">
        <f t="shared" si="229"/>
        <v>4.134307861328125</v>
      </c>
      <c r="W136" s="272">
        <f t="shared" si="225"/>
        <v>17.563726806640624</v>
      </c>
    </row>
    <row r="137" spans="1:23" outlineLevel="1" x14ac:dyDescent="0.25">
      <c r="A137" s="142"/>
      <c r="B137" s="61" t="s">
        <v>147</v>
      </c>
      <c r="C137" s="26"/>
      <c r="D137" s="146">
        <f>SUM(D132:D136)</f>
        <v>370.4</v>
      </c>
      <c r="E137" s="146">
        <f>SUM(E132:E136)</f>
        <v>365.2</v>
      </c>
      <c r="F137" s="146">
        <f>SUM(F132:F136)</f>
        <v>372.8</v>
      </c>
      <c r="G137" s="146">
        <f>SUM(G132:G136)</f>
        <v>324.60000000000002</v>
      </c>
      <c r="H137" s="188"/>
      <c r="I137" s="146">
        <f t="shared" ref="I137:W137" si="233">SUM(I132:I136)</f>
        <v>350.9</v>
      </c>
      <c r="J137" s="146">
        <f t="shared" si="233"/>
        <v>320</v>
      </c>
      <c r="K137" s="146">
        <f t="shared" si="233"/>
        <v>356.90000000000003</v>
      </c>
      <c r="L137" s="65">
        <f t="shared" si="233"/>
        <v>343.3</v>
      </c>
      <c r="M137" s="66">
        <f t="shared" si="233"/>
        <v>1371.1000000000001</v>
      </c>
      <c r="N137" s="65">
        <f t="shared" si="233"/>
        <v>376.1</v>
      </c>
      <c r="O137" s="65">
        <f t="shared" si="233"/>
        <v>367.24103994623346</v>
      </c>
      <c r="P137" s="65">
        <f t="shared" si="233"/>
        <v>368.96812061887647</v>
      </c>
      <c r="Q137" s="65">
        <f t="shared" si="233"/>
        <v>344.31288623309138</v>
      </c>
      <c r="R137" s="66">
        <f t="shared" si="233"/>
        <v>1456.6220467982014</v>
      </c>
      <c r="S137" s="65">
        <f t="shared" si="233"/>
        <v>365.25160861992646</v>
      </c>
      <c r="T137" s="65">
        <f t="shared" si="233"/>
        <v>362.35762784009813</v>
      </c>
      <c r="U137" s="65">
        <f t="shared" si="233"/>
        <v>361.08828821207328</v>
      </c>
      <c r="V137" s="65">
        <f t="shared" si="233"/>
        <v>359.14191814142833</v>
      </c>
      <c r="W137" s="66">
        <f t="shared" si="233"/>
        <v>1447.8394428135261</v>
      </c>
    </row>
    <row r="138" spans="1:23" outlineLevel="1" x14ac:dyDescent="0.25">
      <c r="A138" s="142"/>
      <c r="B138" s="61" t="s">
        <v>148</v>
      </c>
      <c r="C138" s="57"/>
      <c r="D138" s="228">
        <f>D130-D137</f>
        <v>-358.79999999999995</v>
      </c>
      <c r="E138" s="228">
        <f>E130-E137</f>
        <v>-349.4</v>
      </c>
      <c r="F138" s="228">
        <f>F130-F137</f>
        <v>-349.5</v>
      </c>
      <c r="G138" s="228">
        <f>G130-G137</f>
        <v>-309.20000000000005</v>
      </c>
      <c r="H138" s="230"/>
      <c r="I138" s="228">
        <f t="shared" ref="I138:W138" si="234">I130-I137</f>
        <v>-330.4</v>
      </c>
      <c r="J138" s="228">
        <f t="shared" si="234"/>
        <v>-308</v>
      </c>
      <c r="K138" s="228">
        <f t="shared" si="234"/>
        <v>-337.20000000000005</v>
      </c>
      <c r="L138" s="102">
        <f t="shared" si="234"/>
        <v>-329.40000000000003</v>
      </c>
      <c r="M138" s="273">
        <f t="shared" si="234"/>
        <v>-1305.0000000000002</v>
      </c>
      <c r="N138" s="102">
        <f t="shared" si="234"/>
        <v>-355.6</v>
      </c>
      <c r="O138" s="102">
        <f t="shared" si="234"/>
        <v>-354.04103994623347</v>
      </c>
      <c r="P138" s="102">
        <f t="shared" si="234"/>
        <v>-347.29812061887645</v>
      </c>
      <c r="Q138" s="102">
        <f t="shared" si="234"/>
        <v>-329.02288623309136</v>
      </c>
      <c r="R138" s="273">
        <f t="shared" si="234"/>
        <v>-1385.9620467982013</v>
      </c>
      <c r="S138" s="102">
        <f t="shared" si="234"/>
        <v>-342.70160861992645</v>
      </c>
      <c r="T138" s="102">
        <f t="shared" si="234"/>
        <v>-347.83762784009815</v>
      </c>
      <c r="U138" s="102">
        <f t="shared" si="234"/>
        <v>-337.25128821207329</v>
      </c>
      <c r="V138" s="102">
        <f t="shared" si="234"/>
        <v>-342.32291814142832</v>
      </c>
      <c r="W138" s="273">
        <f t="shared" si="234"/>
        <v>-1370.113442813526</v>
      </c>
    </row>
    <row r="139" spans="1:23" ht="18" x14ac:dyDescent="0.4">
      <c r="A139" s="142"/>
      <c r="B139" s="288" t="s">
        <v>149</v>
      </c>
      <c r="C139" s="289"/>
      <c r="D139" s="21" t="s">
        <v>42</v>
      </c>
      <c r="E139" s="21" t="s">
        <v>43</v>
      </c>
      <c r="F139" s="21" t="s">
        <v>44</v>
      </c>
      <c r="G139" s="21" t="s">
        <v>45</v>
      </c>
      <c r="H139" s="51" t="s">
        <v>46</v>
      </c>
      <c r="I139" s="21" t="s">
        <v>47</v>
      </c>
      <c r="J139" s="21" t="s">
        <v>48</v>
      </c>
      <c r="K139" s="21" t="s">
        <v>49</v>
      </c>
      <c r="L139" s="21" t="s">
        <v>50</v>
      </c>
      <c r="M139" s="51" t="s">
        <v>51</v>
      </c>
      <c r="N139" s="21" t="s">
        <v>52</v>
      </c>
      <c r="O139" s="19" t="s">
        <v>53</v>
      </c>
      <c r="P139" s="19" t="s">
        <v>54</v>
      </c>
      <c r="Q139" s="19" t="s">
        <v>55</v>
      </c>
      <c r="R139" s="53" t="s">
        <v>56</v>
      </c>
      <c r="S139" s="19" t="s">
        <v>57</v>
      </c>
      <c r="T139" s="19" t="s">
        <v>58</v>
      </c>
      <c r="U139" s="19" t="s">
        <v>59</v>
      </c>
      <c r="V139" s="19" t="s">
        <v>60</v>
      </c>
      <c r="W139" s="53" t="s">
        <v>61</v>
      </c>
    </row>
    <row r="140" spans="1:23" s="106" customFormat="1" ht="15.6" customHeight="1" outlineLevel="1" x14ac:dyDescent="0.25">
      <c r="A140" s="199"/>
      <c r="B140" s="81" t="s">
        <v>150</v>
      </c>
      <c r="C140" s="107"/>
      <c r="D140" s="83">
        <f>+D52+D87-D9</f>
        <v>0</v>
      </c>
      <c r="E140" s="83">
        <f>+E52+E87-E9</f>
        <v>0</v>
      </c>
      <c r="F140" s="172">
        <f>+F52+F87-F9</f>
        <v>0</v>
      </c>
      <c r="G140" s="83">
        <f>+G52+G87-G9</f>
        <v>0</v>
      </c>
      <c r="H140" s="85"/>
      <c r="I140" s="83">
        <f>+I52+I87-I9</f>
        <v>0</v>
      </c>
      <c r="J140" s="83">
        <f>+J52+J87-J9</f>
        <v>0</v>
      </c>
      <c r="K140" s="172">
        <f>+K52+K87-K9</f>
        <v>0</v>
      </c>
      <c r="L140" s="83">
        <f>+L52+L87-L9</f>
        <v>0</v>
      </c>
      <c r="M140" s="85"/>
      <c r="N140" s="83">
        <f>+N52+N87-N9</f>
        <v>0</v>
      </c>
      <c r="O140" s="83">
        <f>+O52+O87-O9</f>
        <v>0</v>
      </c>
      <c r="P140" s="172">
        <f>+P52+P87-P9</f>
        <v>0</v>
      </c>
      <c r="Q140" s="83">
        <f>+Q52+Q87-Q9</f>
        <v>0</v>
      </c>
      <c r="R140" s="85"/>
      <c r="S140" s="83">
        <f>+S52+S87-S9</f>
        <v>0</v>
      </c>
      <c r="T140" s="83">
        <f>+T52+T87-T9</f>
        <v>0</v>
      </c>
      <c r="U140" s="172">
        <f>+U52+U87-U9</f>
        <v>0</v>
      </c>
      <c r="V140" s="83">
        <f>+V52+V87-V9</f>
        <v>0</v>
      </c>
      <c r="W140" s="85"/>
    </row>
    <row r="141" spans="1:23" s="106" customFormat="1" ht="15.6" customHeight="1" outlineLevel="1" x14ac:dyDescent="0.25">
      <c r="A141" s="199"/>
      <c r="B141" s="81" t="s">
        <v>151</v>
      </c>
      <c r="C141" s="107"/>
      <c r="D141" s="83">
        <f>+D59+D94-D10</f>
        <v>0</v>
      </c>
      <c r="E141" s="83">
        <f>+E59+E94-E10</f>
        <v>0</v>
      </c>
      <c r="F141" s="172">
        <f>+F59+F94-F10</f>
        <v>0</v>
      </c>
      <c r="G141" s="83">
        <f>+G59+G94-G10</f>
        <v>0</v>
      </c>
      <c r="H141" s="85"/>
      <c r="I141" s="83">
        <f>+I59+I94-I10</f>
        <v>0</v>
      </c>
      <c r="J141" s="83">
        <f>+J59+J94-J10</f>
        <v>0</v>
      </c>
      <c r="K141" s="172">
        <f>+K59+K94-K10</f>
        <v>0</v>
      </c>
      <c r="L141" s="83">
        <f>+L59+L94-L10</f>
        <v>0</v>
      </c>
      <c r="M141" s="85"/>
      <c r="N141" s="83">
        <f>+N59+N94-N10</f>
        <v>0</v>
      </c>
      <c r="O141" s="83">
        <f>+O59+O94-O10</f>
        <v>0</v>
      </c>
      <c r="P141" s="172">
        <f>+P59+P94-P10</f>
        <v>0</v>
      </c>
      <c r="Q141" s="83">
        <f>+Q59+Q94-Q10</f>
        <v>0</v>
      </c>
      <c r="R141" s="85"/>
      <c r="S141" s="83">
        <f>+S59+S94-S10</f>
        <v>0</v>
      </c>
      <c r="T141" s="83">
        <f>+T59+T94-T10</f>
        <v>0</v>
      </c>
      <c r="U141" s="172">
        <f>+U59+U94-U10</f>
        <v>0</v>
      </c>
      <c r="V141" s="83">
        <f>+V59+V94-V10</f>
        <v>0</v>
      </c>
      <c r="W141" s="85"/>
    </row>
    <row r="142" spans="1:23" s="106" customFormat="1" ht="15.6" customHeight="1" outlineLevel="1" x14ac:dyDescent="0.25">
      <c r="A142" s="199"/>
      <c r="B142" s="81" t="s">
        <v>152</v>
      </c>
      <c r="C142" s="107"/>
      <c r="D142" s="83">
        <f>+D60+D95+D115+D130-D11</f>
        <v>0</v>
      </c>
      <c r="E142" s="83">
        <f>+E60+E95+E115+E130-E11</f>
        <v>0</v>
      </c>
      <c r="F142" s="172">
        <f>+F60+F95+F115+F130-F11</f>
        <v>0</v>
      </c>
      <c r="G142" s="83">
        <f>+G60+G95+G115+G130-G11</f>
        <v>0</v>
      </c>
      <c r="H142" s="85"/>
      <c r="I142" s="83">
        <f>+I60+I95+I115+I130-I11</f>
        <v>0</v>
      </c>
      <c r="J142" s="83">
        <f>+J60+J95+J115+J130-J11</f>
        <v>0</v>
      </c>
      <c r="K142" s="172">
        <f>+K60+K95+K115+K130-K11</f>
        <v>0</v>
      </c>
      <c r="L142" s="83">
        <f>+L60+L95+L115+L130-L11</f>
        <v>0</v>
      </c>
      <c r="M142" s="85"/>
      <c r="N142" s="83">
        <f>+N60+N95+N115+N130-N11</f>
        <v>0</v>
      </c>
      <c r="O142" s="83">
        <f>+O60+O95+O115+O130-O11</f>
        <v>0</v>
      </c>
      <c r="P142" s="172">
        <f>+P60+P95+P115+P130-P11</f>
        <v>0</v>
      </c>
      <c r="Q142" s="83">
        <f>+Q60+Q95+Q115+Q130-Q11</f>
        <v>0</v>
      </c>
      <c r="R142" s="85"/>
      <c r="S142" s="83">
        <f>+S60+S95+S115+S130-S11</f>
        <v>0</v>
      </c>
      <c r="T142" s="83">
        <f>+T60+T95+T115+T130-T11</f>
        <v>0</v>
      </c>
      <c r="U142" s="172">
        <f>+U60+U95+U115+U130-U11</f>
        <v>0</v>
      </c>
      <c r="V142" s="83">
        <f>+V60+V95+V115+V130-V11</f>
        <v>0</v>
      </c>
      <c r="W142" s="85"/>
    </row>
    <row r="143" spans="1:23" s="106" customFormat="1" ht="15.6" customHeight="1" outlineLevel="1" x14ac:dyDescent="0.25">
      <c r="A143" s="199"/>
      <c r="B143" s="81" t="s">
        <v>73</v>
      </c>
      <c r="C143" s="107"/>
      <c r="D143" s="83">
        <f>+D126+D111-D20</f>
        <v>0</v>
      </c>
      <c r="E143" s="83">
        <f>+E126+E111-E20</f>
        <v>0</v>
      </c>
      <c r="F143" s="172">
        <f>+F126+F111-F20</f>
        <v>0</v>
      </c>
      <c r="G143" s="83">
        <f>+G126+G111-G20</f>
        <v>0</v>
      </c>
      <c r="H143" s="85"/>
      <c r="I143" s="83">
        <f>+I126+I111-I20</f>
        <v>0</v>
      </c>
      <c r="J143" s="83">
        <f>+J126+J111-J20</f>
        <v>0</v>
      </c>
      <c r="K143" s="172">
        <f>+K126+K111-K20</f>
        <v>0</v>
      </c>
      <c r="L143" s="83">
        <f>+L126+L111-L20</f>
        <v>0</v>
      </c>
      <c r="M143" s="85"/>
      <c r="N143" s="83">
        <f>+N126+N111-N20</f>
        <v>0</v>
      </c>
      <c r="O143" s="83">
        <f>+O126+O111-O20</f>
        <v>0</v>
      </c>
      <c r="P143" s="172">
        <f>+P126+P111-P20</f>
        <v>0</v>
      </c>
      <c r="Q143" s="83">
        <f>+Q126+Q111-Q20</f>
        <v>0</v>
      </c>
      <c r="R143" s="85"/>
      <c r="S143" s="83">
        <f>+S126+S111-S20</f>
        <v>0</v>
      </c>
      <c r="T143" s="83">
        <f>+T126+T111-T20</f>
        <v>0</v>
      </c>
      <c r="U143" s="172">
        <f>+U126+U111-U20</f>
        <v>0</v>
      </c>
      <c r="V143" s="83">
        <f>+V126+V111-V20</f>
        <v>0</v>
      </c>
      <c r="W143" s="85"/>
    </row>
    <row r="144" spans="1:23" s="106" customFormat="1" ht="15.6" customHeight="1" outlineLevel="1" x14ac:dyDescent="0.25">
      <c r="A144" s="199"/>
      <c r="B144" s="81" t="s">
        <v>153</v>
      </c>
      <c r="C144" s="107"/>
      <c r="D144" s="83">
        <f>+D76+D112+D127+D138-D21</f>
        <v>0</v>
      </c>
      <c r="E144" s="83">
        <f>+E76+E112+E127+E138-E21</f>
        <v>0</v>
      </c>
      <c r="F144" s="172">
        <f>+F76+F112+F127+F138-F21</f>
        <v>0</v>
      </c>
      <c r="G144" s="83">
        <f>+G76+G112+G127+G138-G21</f>
        <v>9.9999999998544808E-2</v>
      </c>
      <c r="H144" s="85"/>
      <c r="I144" s="83">
        <f>+I76+I112+I127+I138-I21</f>
        <v>0</v>
      </c>
      <c r="J144" s="83">
        <f>+J76+J112+J127+J138-J21</f>
        <v>6.8212102632969618E-13</v>
      </c>
      <c r="K144" s="172">
        <f>+K76+K112+K127+K138-K21</f>
        <v>0</v>
      </c>
      <c r="L144" s="83">
        <f>+L76+L112+L127+L138-L21</f>
        <v>0</v>
      </c>
      <c r="M144" s="85"/>
      <c r="N144" s="83">
        <f>+N76+N112+N127+N138-N21</f>
        <v>0</v>
      </c>
      <c r="O144" s="83">
        <f>+O76+O112+O127+O138-O21</f>
        <v>0</v>
      </c>
      <c r="P144" s="172">
        <f>+P76+P112+P127+P138-P21</f>
        <v>0</v>
      </c>
      <c r="Q144" s="83">
        <f>+Q76+Q112+Q127+Q138-Q21</f>
        <v>0</v>
      </c>
      <c r="R144" s="85"/>
      <c r="S144" s="83">
        <f>+S76+S112+S127+S138-S21</f>
        <v>0</v>
      </c>
      <c r="T144" s="83">
        <f>+T76+T112+T127+T138-T21</f>
        <v>-1.1368683772161603E-12</v>
      </c>
      <c r="U144" s="172">
        <f>+U76+U112+U127+U138-U21</f>
        <v>1.0231815394945443E-12</v>
      </c>
      <c r="V144" s="83">
        <f>+V76+V112+V127+V138-V21</f>
        <v>0</v>
      </c>
      <c r="W144" s="85"/>
    </row>
    <row r="145" spans="1:23" ht="15" customHeight="1" x14ac:dyDescent="0.4">
      <c r="A145" s="142"/>
      <c r="B145" s="288" t="s">
        <v>154</v>
      </c>
      <c r="C145" s="289"/>
      <c r="D145" s="21" t="s">
        <v>42</v>
      </c>
      <c r="E145" s="21" t="s">
        <v>43</v>
      </c>
      <c r="F145" s="21" t="s">
        <v>44</v>
      </c>
      <c r="G145" s="21" t="s">
        <v>45</v>
      </c>
      <c r="H145" s="51" t="s">
        <v>46</v>
      </c>
      <c r="I145" s="21" t="s">
        <v>47</v>
      </c>
      <c r="J145" s="21" t="s">
        <v>48</v>
      </c>
      <c r="K145" s="21" t="s">
        <v>49</v>
      </c>
      <c r="L145" s="21" t="s">
        <v>50</v>
      </c>
      <c r="M145" s="51" t="s">
        <v>51</v>
      </c>
      <c r="N145" s="21" t="s">
        <v>52</v>
      </c>
      <c r="O145" s="19" t="s">
        <v>53</v>
      </c>
      <c r="P145" s="19" t="s">
        <v>54</v>
      </c>
      <c r="Q145" s="19" t="s">
        <v>55</v>
      </c>
      <c r="R145" s="53" t="s">
        <v>56</v>
      </c>
      <c r="S145" s="19" t="s">
        <v>57</v>
      </c>
      <c r="T145" s="19" t="s">
        <v>58</v>
      </c>
      <c r="U145" s="19" t="s">
        <v>59</v>
      </c>
      <c r="V145" s="19" t="s">
        <v>60</v>
      </c>
      <c r="W145" s="53" t="s">
        <v>61</v>
      </c>
    </row>
    <row r="146" spans="1:23" s="30" customFormat="1" outlineLevel="1" x14ac:dyDescent="0.25">
      <c r="A146" s="179"/>
      <c r="B146" s="318" t="s">
        <v>155</v>
      </c>
      <c r="C146" s="319"/>
      <c r="D146" s="38"/>
      <c r="E146" s="38"/>
      <c r="F146" s="38"/>
      <c r="G146" s="38"/>
      <c r="H146" s="200"/>
      <c r="I146" s="38">
        <f t="shared" ref="I146:W146" si="235">I12/D12-1</f>
        <v>7.0016735266180907E-2</v>
      </c>
      <c r="J146" s="38">
        <f t="shared" si="235"/>
        <v>-4.9192026514851106E-2</v>
      </c>
      <c r="K146" s="38">
        <f t="shared" si="235"/>
        <v>-0.38119595485856661</v>
      </c>
      <c r="L146" s="161">
        <f t="shared" si="235"/>
        <v>-8.061360604713208E-2</v>
      </c>
      <c r="M146" s="181">
        <f t="shared" si="235"/>
        <v>-0.11281621813298315</v>
      </c>
      <c r="N146" s="38">
        <f t="shared" si="235"/>
        <v>-4.8991841738174613E-2</v>
      </c>
      <c r="O146" s="38">
        <f t="shared" si="235"/>
        <v>1.7965646213981668E-2</v>
      </c>
      <c r="P146" s="38">
        <f t="shared" si="235"/>
        <v>0.15153597118172457</v>
      </c>
      <c r="Q146" s="38">
        <f t="shared" si="235"/>
        <v>0.13205299172932272</v>
      </c>
      <c r="R146" s="36">
        <f t="shared" si="235"/>
        <v>5.1830706774712354E-2</v>
      </c>
      <c r="S146" s="38">
        <f t="shared" si="235"/>
        <v>0.11808491762375151</v>
      </c>
      <c r="T146" s="38">
        <f t="shared" si="235"/>
        <v>7.7378139224658637E-2</v>
      </c>
      <c r="U146" s="38">
        <f t="shared" si="235"/>
        <v>7.998857794445402E-2</v>
      </c>
      <c r="V146" s="38">
        <f t="shared" si="235"/>
        <v>6.1509646534056328E-2</v>
      </c>
      <c r="W146" s="36">
        <f t="shared" si="235"/>
        <v>8.4493230565688471E-2</v>
      </c>
    </row>
    <row r="147" spans="1:23" s="30" customFormat="1" outlineLevel="1" x14ac:dyDescent="0.25">
      <c r="A147" s="179"/>
      <c r="B147" s="318" t="s">
        <v>156</v>
      </c>
      <c r="C147" s="319"/>
      <c r="D147" s="35">
        <f t="shared" ref="D147:W147" si="236">D21/D12</f>
        <v>0.15313522396610738</v>
      </c>
      <c r="E147" s="35">
        <f t="shared" si="236"/>
        <v>0.13601547756862614</v>
      </c>
      <c r="F147" s="35">
        <f t="shared" si="236"/>
        <v>0.16434119888612064</v>
      </c>
      <c r="G147" s="35">
        <f t="shared" si="236"/>
        <v>0.16054542759745088</v>
      </c>
      <c r="H147" s="37">
        <f t="shared" si="236"/>
        <v>0.15383309567461143</v>
      </c>
      <c r="I147" s="35">
        <f t="shared" si="236"/>
        <v>0.1718730185568752</v>
      </c>
      <c r="J147" s="35">
        <f t="shared" si="236"/>
        <v>8.1291592307820446E-2</v>
      </c>
      <c r="K147" s="35">
        <f t="shared" si="236"/>
        <v>-0.16671798394164022</v>
      </c>
      <c r="L147" s="161">
        <f t="shared" si="236"/>
        <v>9.0003385404072211E-2</v>
      </c>
      <c r="M147" s="200">
        <f t="shared" si="236"/>
        <v>6.6400204098988183E-2</v>
      </c>
      <c r="N147" s="35">
        <f t="shared" si="236"/>
        <v>0.13534536403235845</v>
      </c>
      <c r="O147" s="35">
        <f t="shared" si="236"/>
        <v>9.2011119084063342E-2</v>
      </c>
      <c r="P147" s="35">
        <f t="shared" si="236"/>
        <v>0.120923083346308</v>
      </c>
      <c r="Q147" s="35">
        <f t="shared" si="236"/>
        <v>0.17052334437409472</v>
      </c>
      <c r="R147" s="200">
        <f t="shared" si="236"/>
        <v>0.13180497306044503</v>
      </c>
      <c r="S147" s="35">
        <f>S21/S12</f>
        <v>0.16706391188367226</v>
      </c>
      <c r="T147" s="35">
        <f t="shared" si="236"/>
        <v>0.14790706399844611</v>
      </c>
      <c r="U147" s="35">
        <f t="shared" si="236"/>
        <v>0.1305606715845932</v>
      </c>
      <c r="V147" s="35">
        <f t="shared" si="236"/>
        <v>0.14937240027368853</v>
      </c>
      <c r="W147" s="37">
        <f t="shared" si="236"/>
        <v>0.15030784054231441</v>
      </c>
    </row>
    <row r="148" spans="1:23" s="30" customFormat="1" outlineLevel="1" x14ac:dyDescent="0.25">
      <c r="A148" s="179"/>
      <c r="B148" s="318" t="s">
        <v>157</v>
      </c>
      <c r="C148" s="319"/>
      <c r="D148" s="35">
        <f t="shared" ref="D148:W148" si="237">+D23/D12</f>
        <v>0.17394123056975294</v>
      </c>
      <c r="E148" s="35">
        <f t="shared" si="237"/>
        <v>0.15843892227913536</v>
      </c>
      <c r="F148" s="35">
        <f t="shared" si="237"/>
        <v>0.18270555474131628</v>
      </c>
      <c r="G148" s="35">
        <f t="shared" si="237"/>
        <v>0.17201719282644154</v>
      </c>
      <c r="H148" s="37">
        <f t="shared" si="237"/>
        <v>0.17201964645435841</v>
      </c>
      <c r="I148" s="35">
        <f t="shared" si="237"/>
        <v>0.1819616463062376</v>
      </c>
      <c r="J148" s="35">
        <f t="shared" si="237"/>
        <v>9.2432910252347358E-2</v>
      </c>
      <c r="K148" s="35">
        <f t="shared" si="237"/>
        <v>-0.12558205632268285</v>
      </c>
      <c r="L148" s="161">
        <f t="shared" si="237"/>
        <v>0.13183730715287523</v>
      </c>
      <c r="M148" s="200">
        <f t="shared" si="237"/>
        <v>9.0704141508631861E-2</v>
      </c>
      <c r="N148" s="35">
        <f t="shared" si="237"/>
        <v>0.15533232583637069</v>
      </c>
      <c r="O148" s="35">
        <f t="shared" si="237"/>
        <v>0.12158881483899586</v>
      </c>
      <c r="P148" s="35">
        <f t="shared" si="237"/>
        <v>0.14908208483261121</v>
      </c>
      <c r="Q148" s="35">
        <f t="shared" si="237"/>
        <v>0.17280122951951782</v>
      </c>
      <c r="R148" s="200">
        <f t="shared" si="237"/>
        <v>0.15073725917744493</v>
      </c>
      <c r="S148" s="35">
        <f t="shared" si="237"/>
        <v>0.18581488438430679</v>
      </c>
      <c r="T148" s="35">
        <f t="shared" si="237"/>
        <v>0.17075489204989069</v>
      </c>
      <c r="U148" s="35">
        <f t="shared" si="237"/>
        <v>0.16115987752655753</v>
      </c>
      <c r="V148" s="35">
        <f t="shared" si="237"/>
        <v>0.17070863335738617</v>
      </c>
      <c r="W148" s="37">
        <f t="shared" si="237"/>
        <v>0.17310037728253855</v>
      </c>
    </row>
    <row r="149" spans="1:23" s="30" customFormat="1" outlineLevel="1" x14ac:dyDescent="0.25">
      <c r="A149" s="179"/>
      <c r="B149" s="318" t="s">
        <v>158</v>
      </c>
      <c r="C149" s="319"/>
      <c r="D149" s="35">
        <f t="shared" ref="D149:K149" si="238">D28/D27</f>
        <v>0.2124287933713101</v>
      </c>
      <c r="E149" s="35">
        <f t="shared" si="238"/>
        <v>0.1965853658536586</v>
      </c>
      <c r="F149" s="35">
        <f t="shared" si="238"/>
        <v>0.18110799689903978</v>
      </c>
      <c r="G149" s="167">
        <f t="shared" si="238"/>
        <v>0.20083682008368189</v>
      </c>
      <c r="H149" s="200">
        <f t="shared" si="238"/>
        <v>0.19515471765706843</v>
      </c>
      <c r="I149" s="167">
        <f t="shared" si="238"/>
        <v>0.22600104913446431</v>
      </c>
      <c r="J149" s="167">
        <f t="shared" si="238"/>
        <v>0.16760635571501836</v>
      </c>
      <c r="K149" s="167">
        <f t="shared" si="238"/>
        <v>0.16490147783251249</v>
      </c>
      <c r="L149" s="167">
        <v>0.25</v>
      </c>
      <c r="M149" s="200">
        <f>M28/M27</f>
        <v>0.20585709378220463</v>
      </c>
      <c r="N149" s="167">
        <f>N28/N27</f>
        <v>0.23023629840405785</v>
      </c>
      <c r="O149" s="42">
        <v>0.25</v>
      </c>
      <c r="P149" s="42">
        <v>0.255</v>
      </c>
      <c r="Q149" s="42">
        <v>0.26500000000000001</v>
      </c>
      <c r="R149" s="200">
        <f>R28/R27</f>
        <v>0.25098711801873136</v>
      </c>
      <c r="S149" s="42">
        <f>AVERAGE(N149,O149,P149,Q149)-0.165057231271624%</f>
        <v>0.24840850228829828</v>
      </c>
      <c r="T149" s="42">
        <f>AVERAGE(O149,P149,Q149,S149)-0.165057231271624%</f>
        <v>0.25295155325935831</v>
      </c>
      <c r="U149" s="42">
        <f>AVERAGE(P149,Q149,S149,T149)-0.165057231271624%</f>
        <v>0.25368944157419787</v>
      </c>
      <c r="V149" s="42">
        <f>AVERAGE(Q149,S149,T149,U149)-0.165057231271624%</f>
        <v>0.25336180196774738</v>
      </c>
      <c r="W149" s="37">
        <f>W28/W27</f>
        <v>0.25173813797740041</v>
      </c>
    </row>
    <row r="150" spans="1:23" s="30" customFormat="1" outlineLevel="1" x14ac:dyDescent="0.25">
      <c r="A150" s="179"/>
      <c r="B150" s="277" t="s">
        <v>159</v>
      </c>
      <c r="C150" s="278"/>
      <c r="D150" s="35"/>
      <c r="E150" s="35"/>
      <c r="F150" s="35"/>
      <c r="G150" s="35"/>
      <c r="H150" s="37"/>
      <c r="I150" s="35">
        <f t="shared" ref="I150:W150" si="239">I38/D38-1</f>
        <v>5.9389868457878192E-2</v>
      </c>
      <c r="J150" s="35">
        <f t="shared" si="239"/>
        <v>-0.47460546003783222</v>
      </c>
      <c r="K150" s="35">
        <f t="shared" si="239"/>
        <v>-1.5922286955663072</v>
      </c>
      <c r="L150" s="161">
        <f t="shared" si="239"/>
        <v>-0.26631134736842188</v>
      </c>
      <c r="M150" s="200">
        <f t="shared" si="239"/>
        <v>-0.59372113780519853</v>
      </c>
      <c r="N150" s="161">
        <f t="shared" si="239"/>
        <v>-0.23228377390823718</v>
      </c>
      <c r="O150" s="161">
        <f t="shared" si="239"/>
        <v>0.29195590004484773</v>
      </c>
      <c r="P150" s="161">
        <f t="shared" si="239"/>
        <v>-1.8754343174160206</v>
      </c>
      <c r="Q150" s="161">
        <f t="shared" si="239"/>
        <v>0.40709344566949701</v>
      </c>
      <c r="R150" s="37">
        <f t="shared" si="239"/>
        <v>0.85973890045824386</v>
      </c>
      <c r="S150" s="161">
        <f t="shared" si="239"/>
        <v>0.42746365547123566</v>
      </c>
      <c r="T150" s="161">
        <f t="shared" si="239"/>
        <v>0.6913476394641489</v>
      </c>
      <c r="U150" s="161">
        <f t="shared" si="239"/>
        <v>0.27239466181314831</v>
      </c>
      <c r="V150" s="161">
        <f t="shared" si="239"/>
        <v>0.14619068615180408</v>
      </c>
      <c r="W150" s="200">
        <f t="shared" si="239"/>
        <v>0.35204183897767072</v>
      </c>
    </row>
    <row r="151" spans="1:23" ht="18" x14ac:dyDescent="0.4">
      <c r="A151" s="142"/>
      <c r="B151" s="288" t="s">
        <v>160</v>
      </c>
      <c r="C151" s="289"/>
      <c r="D151" s="21" t="s">
        <v>42</v>
      </c>
      <c r="E151" s="21" t="s">
        <v>43</v>
      </c>
      <c r="F151" s="21" t="s">
        <v>44</v>
      </c>
      <c r="G151" s="21" t="s">
        <v>45</v>
      </c>
      <c r="H151" s="51" t="s">
        <v>46</v>
      </c>
      <c r="I151" s="21" t="s">
        <v>47</v>
      </c>
      <c r="J151" s="21" t="s">
        <v>48</v>
      </c>
      <c r="K151" s="21" t="s">
        <v>49</v>
      </c>
      <c r="L151" s="21" t="s">
        <v>50</v>
      </c>
      <c r="M151" s="51" t="s">
        <v>51</v>
      </c>
      <c r="N151" s="21" t="s">
        <v>52</v>
      </c>
      <c r="O151" s="19" t="s">
        <v>53</v>
      </c>
      <c r="P151" s="19" t="s">
        <v>54</v>
      </c>
      <c r="Q151" s="19" t="s">
        <v>55</v>
      </c>
      <c r="R151" s="53" t="s">
        <v>56</v>
      </c>
      <c r="S151" s="19" t="s">
        <v>57</v>
      </c>
      <c r="T151" s="19" t="s">
        <v>58</v>
      </c>
      <c r="U151" s="19" t="s">
        <v>59</v>
      </c>
      <c r="V151" s="19" t="s">
        <v>60</v>
      </c>
      <c r="W151" s="53" t="s">
        <v>61</v>
      </c>
    </row>
    <row r="152" spans="1:23" outlineLevel="1" x14ac:dyDescent="0.25">
      <c r="A152" s="142"/>
      <c r="B152" s="318" t="s">
        <v>161</v>
      </c>
      <c r="C152" s="319"/>
      <c r="D152" s="35"/>
      <c r="E152" s="35">
        <f>(E34+E156+E159+E162)/D34-1</f>
        <v>2.777764747303535E-2</v>
      </c>
      <c r="F152" s="35">
        <f>(F34+F156+F159+F162)/E34-1</f>
        <v>-1.7269004124131682E-2</v>
      </c>
      <c r="G152" s="35">
        <f>(G34+G156+G159+G162)/F34-1</f>
        <v>1.9258933156590885E-2</v>
      </c>
      <c r="H152" s="17"/>
      <c r="I152" s="35">
        <f>(I34+I156+I159+I162)/G34-1</f>
        <v>-1.436336111538794E-2</v>
      </c>
      <c r="J152" s="35">
        <f>(J34+J156+J159+J162)/I34-1</f>
        <v>-1.1333810572689007E-3</v>
      </c>
      <c r="K152" s="35">
        <f>(K34+K156+K159+K162)/J34-1</f>
        <v>-2.8161802355349819E-3</v>
      </c>
      <c r="L152" s="35">
        <f>(L34+L156+L159+L162)/K34-1</f>
        <v>-9.5210569021197955E-4</v>
      </c>
      <c r="M152" s="17"/>
      <c r="N152" s="161">
        <v>-1.4291996843950673E-2</v>
      </c>
      <c r="O152" s="43">
        <v>-1.4291996843950673E-2</v>
      </c>
      <c r="P152" s="43">
        <v>-1.4291996843950673E-2</v>
      </c>
      <c r="Q152" s="43">
        <v>-1.4291996843950673E-2</v>
      </c>
      <c r="R152" s="17"/>
      <c r="S152" s="43">
        <f t="shared" ref="S152:S153" si="240">AVERAGE(N152,O152,P152,Q152)</f>
        <v>-1.4291996843950673E-2</v>
      </c>
      <c r="T152" s="43">
        <f t="shared" ref="T152:T153" si="241">AVERAGE(O152,P152,Q152,S152)</f>
        <v>-1.4291996843950673E-2</v>
      </c>
      <c r="U152" s="43">
        <f t="shared" ref="U152:U153" si="242">AVERAGE(P152,Q152,S152,T152)</f>
        <v>-1.4291996843950673E-2</v>
      </c>
      <c r="V152" s="43">
        <f t="shared" ref="V152:V153" si="243">AVERAGE(Q152,S152,T152,U152)</f>
        <v>-1.4291996843950673E-2</v>
      </c>
      <c r="W152" s="17"/>
    </row>
    <row r="153" spans="1:23" outlineLevel="1" x14ac:dyDescent="0.25">
      <c r="A153" s="142"/>
      <c r="B153" s="318" t="s">
        <v>162</v>
      </c>
      <c r="C153" s="319"/>
      <c r="D153" s="35"/>
      <c r="E153" s="35">
        <f>(E35+E156+E159+E162)/D35-1</f>
        <v>2.7604785512613583E-2</v>
      </c>
      <c r="F153" s="35">
        <f>(F35+F156+F159+F162)/E35-1</f>
        <v>-1.6710442080933863E-2</v>
      </c>
      <c r="G153" s="35">
        <f>(G35+G156+G159+G162)/F35-1</f>
        <v>1.9089589576967603E-2</v>
      </c>
      <c r="H153" s="17"/>
      <c r="I153" s="35">
        <f>(I35+I156+I159+I162)/G35-1</f>
        <v>-1.5386652077945762E-2</v>
      </c>
      <c r="J153" s="35">
        <f>(J35+J156+J159+J162)/I35-1</f>
        <v>-2.5506658270361138E-3</v>
      </c>
      <c r="K153" s="35">
        <f>(K35+K156+K159+K162)/J35-1</f>
        <v>-1.0332853392055585E-2</v>
      </c>
      <c r="L153" s="35">
        <f>(L35+L156+L159+L162)/K35-1</f>
        <v>8.9858793324775199E-3</v>
      </c>
      <c r="M153" s="17"/>
      <c r="N153" s="161">
        <v>-1.4291996843950673E-2</v>
      </c>
      <c r="O153" s="43">
        <v>-1.4291996843950673E-2</v>
      </c>
      <c r="P153" s="43">
        <v>-1.4291996843950673E-2</v>
      </c>
      <c r="Q153" s="43">
        <v>-1.4291996843950673E-2</v>
      </c>
      <c r="R153" s="17"/>
      <c r="S153" s="43">
        <f t="shared" si="240"/>
        <v>-1.4291996843950673E-2</v>
      </c>
      <c r="T153" s="43">
        <f t="shared" si="241"/>
        <v>-1.4291996843950673E-2</v>
      </c>
      <c r="U153" s="43">
        <f t="shared" si="242"/>
        <v>-1.4291996843950673E-2</v>
      </c>
      <c r="V153" s="43">
        <f t="shared" si="243"/>
        <v>-1.4291996843950673E-2</v>
      </c>
      <c r="W153" s="17"/>
    </row>
    <row r="154" spans="1:23" outlineLevel="1" x14ac:dyDescent="0.25">
      <c r="A154" s="142"/>
      <c r="B154" s="318" t="s">
        <v>163</v>
      </c>
      <c r="C154" s="319"/>
      <c r="D154" s="44"/>
      <c r="E154" s="158">
        <v>69.922678056926543</v>
      </c>
      <c r="F154" s="158">
        <v>83.13076202744692</v>
      </c>
      <c r="G154" s="158">
        <v>92.52</v>
      </c>
      <c r="H154" s="45"/>
      <c r="I154" s="158">
        <v>85.23</v>
      </c>
      <c r="J154" s="158">
        <v>78.08</v>
      </c>
      <c r="K154" s="158">
        <v>0</v>
      </c>
      <c r="L154" s="158">
        <v>72</v>
      </c>
      <c r="M154" s="45"/>
      <c r="N154" s="158">
        <v>88</v>
      </c>
      <c r="O154" s="46">
        <v>105</v>
      </c>
      <c r="P154" s="46">
        <f>O154</f>
        <v>105</v>
      </c>
      <c r="Q154" s="46">
        <f>P154</f>
        <v>105</v>
      </c>
      <c r="R154" s="45"/>
      <c r="S154" s="46">
        <f>+Q154</f>
        <v>105</v>
      </c>
      <c r="T154" s="46">
        <f>+S154</f>
        <v>105</v>
      </c>
      <c r="U154" s="46">
        <f>+T154</f>
        <v>105</v>
      </c>
      <c r="V154" s="46">
        <f>+U154</f>
        <v>105</v>
      </c>
      <c r="W154" s="45"/>
    </row>
    <row r="155" spans="1:23" outlineLevel="1" x14ac:dyDescent="0.25">
      <c r="A155" s="142"/>
      <c r="B155" s="318" t="s">
        <v>164</v>
      </c>
      <c r="C155" s="319"/>
      <c r="D155" s="23"/>
      <c r="E155" s="148">
        <v>713.2</v>
      </c>
      <c r="F155" s="148">
        <f>954.3-713.2</f>
        <v>241.09999999999991</v>
      </c>
      <c r="G155" s="144">
        <v>2177.1942404399997</v>
      </c>
      <c r="H155" s="24">
        <f>+SUM(D155:G155)</f>
        <v>3131.4942404399999</v>
      </c>
      <c r="I155" s="144">
        <v>1107.9389472300002</v>
      </c>
      <c r="J155" s="144">
        <v>567.02921856000012</v>
      </c>
      <c r="K155" s="144">
        <v>0</v>
      </c>
      <c r="L155" s="144">
        <v>0</v>
      </c>
      <c r="M155" s="24">
        <f>+SUM(I155:L155)</f>
        <v>1674.9681657900003</v>
      </c>
      <c r="N155" s="144">
        <v>0</v>
      </c>
      <c r="O155" s="41">
        <v>0</v>
      </c>
      <c r="P155" s="41">
        <v>0</v>
      </c>
      <c r="Q155" s="41">
        <v>0</v>
      </c>
      <c r="R155" s="24">
        <f>+SUM(N155:Q155)</f>
        <v>0</v>
      </c>
      <c r="S155" s="41">
        <v>100</v>
      </c>
      <c r="T155" s="41">
        <v>100</v>
      </c>
      <c r="U155" s="41">
        <v>100</v>
      </c>
      <c r="V155" s="41">
        <v>100</v>
      </c>
      <c r="W155" s="24">
        <f>+SUM(S155:V155)</f>
        <v>400</v>
      </c>
    </row>
    <row r="156" spans="1:23" outlineLevel="1" x14ac:dyDescent="0.25">
      <c r="A156" s="142"/>
      <c r="B156" s="318" t="s">
        <v>165</v>
      </c>
      <c r="C156" s="319"/>
      <c r="D156" s="204"/>
      <c r="E156" s="204">
        <f>IF((E155)&gt;0,(E155/E154),0)</f>
        <v>10.199838161509755</v>
      </c>
      <c r="F156" s="207">
        <f>IF((F155)&gt;0,(F155/F154),0)</f>
        <v>2.9002500893760241</v>
      </c>
      <c r="G156" s="207">
        <f>IF((G155)&gt;0,(G155/G154),0)</f>
        <v>23.532146999999998</v>
      </c>
      <c r="H156" s="64">
        <f>+SUM(D156:G156)</f>
        <v>36.632235250885778</v>
      </c>
      <c r="I156" s="204">
        <f>IF((I155)&gt;0,(I155/I154),0)</f>
        <v>12.999401000000001</v>
      </c>
      <c r="J156" s="207">
        <f>IF((J155)&gt;0,(J155/J154),0)</f>
        <v>7.262157000000002</v>
      </c>
      <c r="K156" s="204">
        <f>IF((K155)&gt;0,(K155/K154),0)</f>
        <v>0</v>
      </c>
      <c r="L156" s="204">
        <f>IF((L155)&gt;0,(L155/L154),0)</f>
        <v>0</v>
      </c>
      <c r="M156" s="64">
        <f>+SUM(I156:L156)</f>
        <v>20.261558000000001</v>
      </c>
      <c r="N156" s="204">
        <f>IF((N155)&gt;0,(N155/N154),0)</f>
        <v>0</v>
      </c>
      <c r="O156" s="204">
        <f>IF((O155)&gt;0,(O155/O154),0)</f>
        <v>0</v>
      </c>
      <c r="P156" s="204">
        <f>IF((P155)&gt;0,(P155/P154),0)</f>
        <v>0</v>
      </c>
      <c r="Q156" s="204">
        <f>IF((Q155)&gt;0,(Q155/Q154),0)</f>
        <v>0</v>
      </c>
      <c r="R156" s="64">
        <f>+SUM(N156:Q156)</f>
        <v>0</v>
      </c>
      <c r="S156" s="204">
        <f>IF((S155)&gt;0,(S155/S154),0)</f>
        <v>0.95238095238095233</v>
      </c>
      <c r="T156" s="204">
        <f>IF((T155)&gt;0,(T155/T154),0)</f>
        <v>0.95238095238095233</v>
      </c>
      <c r="U156" s="204">
        <f>IF((U155)&gt;0,(U155/U154),0)</f>
        <v>0.95238095238095233</v>
      </c>
      <c r="V156" s="204">
        <f>IF((V155)&gt;0,(V155/V154),0)</f>
        <v>0.95238095238095233</v>
      </c>
      <c r="W156" s="64">
        <f>+SUM(S156:V156)</f>
        <v>3.8095238095238093</v>
      </c>
    </row>
    <row r="157" spans="1:23" outlineLevel="1" x14ac:dyDescent="0.25">
      <c r="A157" s="142"/>
      <c r="B157" s="330" t="s">
        <v>166</v>
      </c>
      <c r="C157" s="331"/>
      <c r="D157" s="208">
        <v>55.58</v>
      </c>
      <c r="E157" s="209">
        <v>65.03</v>
      </c>
      <c r="F157" s="126"/>
      <c r="G157" s="126"/>
      <c r="H157" s="104"/>
      <c r="I157" s="126"/>
      <c r="J157" s="126"/>
      <c r="K157" s="126"/>
      <c r="L157" s="126"/>
      <c r="M157" s="104"/>
      <c r="N157" s="126"/>
      <c r="O157" s="126"/>
      <c r="P157" s="126"/>
      <c r="Q157" s="126"/>
      <c r="R157" s="104"/>
      <c r="S157" s="126"/>
      <c r="T157" s="126"/>
      <c r="U157" s="126"/>
      <c r="V157" s="126"/>
      <c r="W157" s="104"/>
    </row>
    <row r="158" spans="1:23" outlineLevel="1" x14ac:dyDescent="0.25">
      <c r="A158" s="142"/>
      <c r="B158" s="332" t="s">
        <v>167</v>
      </c>
      <c r="C158" s="333"/>
      <c r="D158" s="210">
        <f>71.968334*55.58</f>
        <v>4000.0000037199998</v>
      </c>
      <c r="E158" s="211">
        <v>318.64700000000005</v>
      </c>
      <c r="F158" s="204"/>
      <c r="G158" s="204"/>
      <c r="H158" s="64"/>
      <c r="I158" s="204"/>
      <c r="J158" s="204"/>
      <c r="K158" s="204"/>
      <c r="L158" s="204"/>
      <c r="M158" s="64"/>
      <c r="N158" s="204"/>
      <c r="O158" s="204"/>
      <c r="P158" s="204"/>
      <c r="Q158" s="204"/>
      <c r="R158" s="64"/>
      <c r="S158" s="204"/>
      <c r="T158" s="204"/>
      <c r="U158" s="204"/>
      <c r="V158" s="204"/>
      <c r="W158" s="64"/>
    </row>
    <row r="159" spans="1:23" outlineLevel="1" x14ac:dyDescent="0.25">
      <c r="A159" s="142"/>
      <c r="B159" s="334" t="s">
        <v>168</v>
      </c>
      <c r="C159" s="335"/>
      <c r="D159" s="212">
        <f>IF((D158)&gt;0,(D158/D157),0)</f>
        <v>71.968333999999999</v>
      </c>
      <c r="E159" s="205">
        <f>IF((E158)&gt;0,(E158/E157),0)</f>
        <v>4.9000000000000004</v>
      </c>
      <c r="F159" s="205"/>
      <c r="G159" s="205"/>
      <c r="H159" s="206"/>
      <c r="I159" s="205"/>
      <c r="J159" s="205"/>
      <c r="K159" s="205"/>
      <c r="L159" s="205"/>
      <c r="M159" s="206"/>
      <c r="N159" s="205"/>
      <c r="O159" s="205"/>
      <c r="P159" s="205"/>
      <c r="Q159" s="205"/>
      <c r="R159" s="206"/>
      <c r="S159" s="205"/>
      <c r="T159" s="205"/>
      <c r="U159" s="205"/>
      <c r="V159" s="205"/>
      <c r="W159" s="206"/>
    </row>
    <row r="160" spans="1:23" outlineLevel="1" x14ac:dyDescent="0.25">
      <c r="A160" s="142"/>
      <c r="B160" s="277" t="s">
        <v>169</v>
      </c>
      <c r="C160" s="278"/>
      <c r="D160" s="204"/>
      <c r="E160" s="44">
        <v>71.959999999999994</v>
      </c>
      <c r="F160" s="44">
        <v>76.5</v>
      </c>
      <c r="G160" s="204"/>
      <c r="H160" s="64"/>
      <c r="I160" s="204"/>
      <c r="J160" s="204"/>
      <c r="K160" s="204"/>
      <c r="L160" s="204"/>
      <c r="M160" s="64"/>
      <c r="N160" s="204"/>
      <c r="O160" s="204"/>
      <c r="P160" s="204"/>
      <c r="Q160" s="204"/>
      <c r="R160" s="64"/>
      <c r="S160" s="204"/>
      <c r="T160" s="204"/>
      <c r="U160" s="204"/>
      <c r="V160" s="204"/>
      <c r="W160" s="64"/>
    </row>
    <row r="161" spans="1:23" outlineLevel="1" x14ac:dyDescent="0.25">
      <c r="A161" s="142"/>
      <c r="B161" s="277" t="s">
        <v>170</v>
      </c>
      <c r="C161" s="278"/>
      <c r="D161" s="204"/>
      <c r="E161" s="23">
        <v>1597.5119999999997</v>
      </c>
      <c r="F161" s="23">
        <v>298.35000000000002</v>
      </c>
      <c r="G161" s="204"/>
      <c r="H161" s="64"/>
      <c r="I161" s="204"/>
      <c r="J161" s="204"/>
      <c r="K161" s="204"/>
      <c r="L161" s="204"/>
      <c r="M161" s="64"/>
      <c r="N161" s="255"/>
      <c r="O161" s="204"/>
      <c r="P161" s="204"/>
      <c r="Q161" s="204"/>
      <c r="R161" s="64"/>
      <c r="S161" s="204"/>
      <c r="T161" s="204"/>
      <c r="U161" s="204"/>
      <c r="V161" s="204"/>
      <c r="W161" s="64"/>
    </row>
    <row r="162" spans="1:23" outlineLevel="1" x14ac:dyDescent="0.25">
      <c r="A162" s="142"/>
      <c r="B162" s="277" t="s">
        <v>171</v>
      </c>
      <c r="C162" s="278"/>
      <c r="D162" s="204"/>
      <c r="E162" s="204">
        <f>IF((E161)&gt;0,(E161/E160),0)</f>
        <v>22.2</v>
      </c>
      <c r="F162" s="204">
        <f>IF((F161)&gt;0,(F161/F160),0)</f>
        <v>3.9000000000000004</v>
      </c>
      <c r="G162" s="204"/>
      <c r="H162" s="64"/>
      <c r="I162" s="204"/>
      <c r="J162" s="204"/>
      <c r="K162" s="204"/>
      <c r="L162" s="204"/>
      <c r="M162" s="64"/>
      <c r="N162" s="204"/>
      <c r="O162" s="204"/>
      <c r="P162" s="204"/>
      <c r="Q162" s="204"/>
      <c r="R162" s="64"/>
      <c r="S162" s="204"/>
      <c r="T162" s="204"/>
      <c r="U162" s="204"/>
      <c r="V162" s="204"/>
      <c r="W162" s="64"/>
    </row>
    <row r="163" spans="1:23" ht="18" x14ac:dyDescent="0.4">
      <c r="A163" s="142"/>
      <c r="B163" s="288" t="s">
        <v>172</v>
      </c>
      <c r="C163" s="289"/>
      <c r="D163" s="21" t="s">
        <v>42</v>
      </c>
      <c r="E163" s="21" t="s">
        <v>43</v>
      </c>
      <c r="F163" s="21" t="s">
        <v>44</v>
      </c>
      <c r="G163" s="21" t="s">
        <v>45</v>
      </c>
      <c r="H163" s="51" t="s">
        <v>46</v>
      </c>
      <c r="I163" s="21" t="s">
        <v>47</v>
      </c>
      <c r="J163" s="21" t="s">
        <v>48</v>
      </c>
      <c r="K163" s="21" t="s">
        <v>49</v>
      </c>
      <c r="L163" s="21" t="s">
        <v>50</v>
      </c>
      <c r="M163" s="51" t="s">
        <v>51</v>
      </c>
      <c r="N163" s="21" t="s">
        <v>52</v>
      </c>
      <c r="O163" s="19" t="s">
        <v>53</v>
      </c>
      <c r="P163" s="19" t="s">
        <v>54</v>
      </c>
      <c r="Q163" s="19" t="s">
        <v>55</v>
      </c>
      <c r="R163" s="53" t="s">
        <v>56</v>
      </c>
      <c r="S163" s="19" t="s">
        <v>57</v>
      </c>
      <c r="T163" s="19" t="s">
        <v>58</v>
      </c>
      <c r="U163" s="19" t="s">
        <v>59</v>
      </c>
      <c r="V163" s="19" t="s">
        <v>60</v>
      </c>
      <c r="W163" s="53" t="s">
        <v>61</v>
      </c>
    </row>
    <row r="164" spans="1:23" outlineLevel="1" x14ac:dyDescent="0.25">
      <c r="A164" s="142"/>
      <c r="B164" s="318" t="s">
        <v>173</v>
      </c>
      <c r="C164" s="319"/>
      <c r="D164" s="145">
        <f>-(22+5.3+0.6+20.9)</f>
        <v>-48.8</v>
      </c>
      <c r="E164" s="145">
        <v>-45.1</v>
      </c>
      <c r="F164" s="145">
        <v>-39.6</v>
      </c>
      <c r="G164" s="145">
        <f>-146.2+133.5</f>
        <v>-12.699999999999989</v>
      </c>
      <c r="H164" s="231">
        <f>SUM(D164:G164)</f>
        <v>-146.19999999999999</v>
      </c>
      <c r="I164" s="145">
        <v>-7.1</v>
      </c>
      <c r="J164" s="145">
        <v>0.1</v>
      </c>
      <c r="K164" s="148">
        <f>-K18</f>
        <v>-78.099999999999994</v>
      </c>
      <c r="L164" s="144">
        <v>-195.5</v>
      </c>
      <c r="M164" s="24"/>
      <c r="N164" s="23">
        <v>-72.2</v>
      </c>
      <c r="O164" s="23">
        <f>-O18</f>
        <v>-30.524999999999999</v>
      </c>
      <c r="P164" s="23">
        <f>-P18</f>
        <v>-21.90625</v>
      </c>
      <c r="Q164" s="23">
        <f>-Q18</f>
        <v>-8.1078124999999996</v>
      </c>
      <c r="R164" s="24"/>
      <c r="S164" s="23">
        <f>-S18</f>
        <v>-3.884765625</v>
      </c>
      <c r="T164" s="23">
        <f>-T18</f>
        <v>-4.85595703125</v>
      </c>
      <c r="U164" s="23">
        <f>-U18</f>
        <v>-4.6886962890625004</v>
      </c>
      <c r="V164" s="23">
        <f>-V18</f>
        <v>-4.134307861328125</v>
      </c>
      <c r="W164" s="24"/>
    </row>
    <row r="165" spans="1:23" outlineLevel="1" x14ac:dyDescent="0.25">
      <c r="A165" s="142"/>
      <c r="B165" s="277" t="s">
        <v>174</v>
      </c>
      <c r="C165" s="278"/>
      <c r="D165" s="145">
        <f>-(5.3+0.5)</f>
        <v>-5.8</v>
      </c>
      <c r="E165" s="145">
        <v>-4.3</v>
      </c>
      <c r="F165" s="145">
        <v>-2.2999999999999998</v>
      </c>
      <c r="G165" s="145">
        <v>-0.2</v>
      </c>
      <c r="H165" s="231">
        <f t="shared" ref="H165:H168" si="244">SUM(D165:G165)</f>
        <v>-12.599999999999998</v>
      </c>
      <c r="I165" s="145">
        <v>-5.6</v>
      </c>
      <c r="J165" s="145">
        <v>-6.8</v>
      </c>
      <c r="K165" s="148">
        <v>-35.04</v>
      </c>
      <c r="L165" s="144">
        <v>0</v>
      </c>
      <c r="M165" s="24"/>
      <c r="N165" s="23"/>
      <c r="O165" s="23"/>
      <c r="P165" s="23"/>
      <c r="Q165" s="23"/>
      <c r="R165" s="24"/>
      <c r="S165" s="23"/>
      <c r="T165" s="23"/>
      <c r="U165" s="23"/>
      <c r="V165" s="23"/>
      <c r="W165" s="24"/>
    </row>
    <row r="166" spans="1:23" outlineLevel="1" x14ac:dyDescent="0.25">
      <c r="A166" s="142"/>
      <c r="B166" s="318" t="s">
        <v>175</v>
      </c>
      <c r="C166" s="319"/>
      <c r="D166" s="145">
        <f>-(60.6-0.3)</f>
        <v>-60.300000000000004</v>
      </c>
      <c r="E166" s="145">
        <v>-68.2</v>
      </c>
      <c r="F166" s="145">
        <v>-69</v>
      </c>
      <c r="G166" s="145">
        <f>-262+197.5</f>
        <v>-64.5</v>
      </c>
      <c r="H166" s="231">
        <f>SUM(D166:G166)</f>
        <v>-262</v>
      </c>
      <c r="I166" s="145">
        <v>-58.9</v>
      </c>
      <c r="J166" s="145">
        <v>-60.1</v>
      </c>
      <c r="K166" s="148">
        <v>-60.54</v>
      </c>
      <c r="L166" s="144">
        <v>-64</v>
      </c>
      <c r="M166" s="24"/>
      <c r="N166" s="23">
        <v>-62.7</v>
      </c>
      <c r="O166" s="23"/>
      <c r="P166" s="23"/>
      <c r="Q166" s="23"/>
      <c r="R166" s="24"/>
      <c r="S166" s="23"/>
      <c r="T166" s="23"/>
      <c r="U166" s="23"/>
      <c r="V166" s="23"/>
      <c r="W166" s="24"/>
    </row>
    <row r="167" spans="1:23" outlineLevel="1" x14ac:dyDescent="0.25">
      <c r="A167" s="142"/>
      <c r="B167" s="277" t="s">
        <v>176</v>
      </c>
      <c r="C167" s="278"/>
      <c r="D167" s="145">
        <v>-23.1</v>
      </c>
      <c r="E167" s="145">
        <v>-23.8</v>
      </c>
      <c r="F167" s="145">
        <v>-14.4</v>
      </c>
      <c r="G167" s="145">
        <v>0</v>
      </c>
      <c r="H167" s="231">
        <f t="shared" si="244"/>
        <v>-61.300000000000004</v>
      </c>
      <c r="I167" s="145"/>
      <c r="J167" s="145"/>
      <c r="K167" s="144"/>
      <c r="L167" s="144"/>
      <c r="M167" s="24"/>
      <c r="N167" s="23"/>
      <c r="O167" s="23"/>
      <c r="P167" s="23"/>
      <c r="Q167" s="23"/>
      <c r="R167" s="24"/>
      <c r="S167" s="23"/>
      <c r="T167" s="23"/>
      <c r="U167" s="23"/>
      <c r="V167" s="23"/>
      <c r="W167" s="24"/>
    </row>
    <row r="168" spans="1:23" ht="17.25" outlineLevel="1" x14ac:dyDescent="0.4">
      <c r="A168" s="142"/>
      <c r="B168" s="277" t="s">
        <v>177</v>
      </c>
      <c r="C168" s="278"/>
      <c r="D168" s="201">
        <v>0</v>
      </c>
      <c r="E168" s="201">
        <v>0</v>
      </c>
      <c r="F168" s="201">
        <v>0</v>
      </c>
      <c r="G168" s="201">
        <v>0</v>
      </c>
      <c r="H168" s="232">
        <f t="shared" si="244"/>
        <v>0</v>
      </c>
      <c r="I168" s="201">
        <v>0</v>
      </c>
      <c r="J168" s="201">
        <v>0</v>
      </c>
      <c r="K168" s="157">
        <v>0</v>
      </c>
      <c r="L168" s="157">
        <v>0</v>
      </c>
      <c r="M168" s="24"/>
      <c r="N168" s="157">
        <v>0</v>
      </c>
      <c r="O168" s="40">
        <v>-150</v>
      </c>
      <c r="P168" s="40">
        <v>-115</v>
      </c>
      <c r="Q168" s="40">
        <v>-100</v>
      </c>
      <c r="R168" s="24"/>
      <c r="S168" s="40">
        <f>AVERAGE(I169,J169,K169,L169,N169,O169,P169,Q169)-S164</f>
        <v>-137.61761718749997</v>
      </c>
      <c r="T168" s="40">
        <f>AVERAGE(J169,K169,L169,N169,O169,P169,Q169,S169)-T164</f>
        <v>-145.38422363281248</v>
      </c>
      <c r="U168" s="40">
        <f>AVERAGE(K169,L169,N169,O169,P169,Q169,S169,T169)-U164</f>
        <v>-155.9815069580078</v>
      </c>
      <c r="V168" s="40">
        <f>AVERAGE(L169,N169,O169,P169,Q169,S169,T169,U169)-V164</f>
        <v>-154.90967079162596</v>
      </c>
      <c r="W168" s="24"/>
    </row>
    <row r="169" spans="1:23" s="16" customFormat="1" outlineLevel="1" x14ac:dyDescent="0.25">
      <c r="A169" s="156"/>
      <c r="B169" s="281" t="s">
        <v>178</v>
      </c>
      <c r="C169" s="240"/>
      <c r="D169" s="65">
        <f t="shared" ref="D169:L169" si="245">SUM(D164:D168)</f>
        <v>-138</v>
      </c>
      <c r="E169" s="65">
        <f t="shared" si="245"/>
        <v>-141.4</v>
      </c>
      <c r="F169" s="65">
        <f t="shared" si="245"/>
        <v>-125.30000000000001</v>
      </c>
      <c r="G169" s="65">
        <f t="shared" si="245"/>
        <v>-77.399999999999991</v>
      </c>
      <c r="H169" s="66">
        <f t="shared" si="245"/>
        <v>-482.09999999999997</v>
      </c>
      <c r="I169" s="65">
        <f t="shared" si="245"/>
        <v>-71.599999999999994</v>
      </c>
      <c r="J169" s="65">
        <f t="shared" si="245"/>
        <v>-66.8</v>
      </c>
      <c r="K169" s="65">
        <f t="shared" si="245"/>
        <v>-173.67999999999998</v>
      </c>
      <c r="L169" s="65">
        <f t="shared" si="245"/>
        <v>-259.5</v>
      </c>
      <c r="M169" s="29"/>
      <c r="N169" s="65">
        <f>SUM(N164:N168)</f>
        <v>-134.9</v>
      </c>
      <c r="O169" s="65">
        <f>SUM(O164:O168)</f>
        <v>-180.52500000000001</v>
      </c>
      <c r="P169" s="65">
        <f>SUM(P164:P168)</f>
        <v>-136.90625</v>
      </c>
      <c r="Q169" s="65">
        <f>SUM(Q164:Q168)</f>
        <v>-108.10781249999999</v>
      </c>
      <c r="R169" s="29"/>
      <c r="S169" s="65">
        <f>SUM(S164:S168)</f>
        <v>-141.50238281249997</v>
      </c>
      <c r="T169" s="65">
        <f>SUM(T164:T168)</f>
        <v>-150.24018066406248</v>
      </c>
      <c r="U169" s="65">
        <f>SUM(U164:U168)</f>
        <v>-160.6702032470703</v>
      </c>
      <c r="V169" s="65">
        <f>SUM(V164:V168)</f>
        <v>-159.04397865295408</v>
      </c>
      <c r="W169" s="29"/>
    </row>
    <row r="170" spans="1:23" ht="17.25" outlineLevel="1" x14ac:dyDescent="0.4">
      <c r="A170" s="142"/>
      <c r="B170" s="277" t="s">
        <v>179</v>
      </c>
      <c r="C170" s="278"/>
      <c r="D170" s="67">
        <v>0</v>
      </c>
      <c r="E170" s="67">
        <v>0</v>
      </c>
      <c r="F170" s="67">
        <v>0</v>
      </c>
      <c r="G170" s="67">
        <v>0</v>
      </c>
      <c r="H170" s="24"/>
      <c r="I170" s="67">
        <v>0</v>
      </c>
      <c r="J170" s="67">
        <v>0</v>
      </c>
      <c r="K170" s="67">
        <v>0</v>
      </c>
      <c r="L170" s="67">
        <v>0</v>
      </c>
      <c r="M170" s="24"/>
      <c r="N170" s="67">
        <v>0</v>
      </c>
      <c r="O170" s="67">
        <v>0</v>
      </c>
      <c r="P170" s="67">
        <v>0</v>
      </c>
      <c r="Q170" s="67">
        <f>-Q21/13</f>
        <v>-92.111961070359129</v>
      </c>
      <c r="R170" s="24"/>
      <c r="S170" s="67">
        <v>0</v>
      </c>
      <c r="T170" s="67">
        <v>0</v>
      </c>
      <c r="U170" s="67">
        <v>0</v>
      </c>
      <c r="V170" s="67">
        <v>0</v>
      </c>
      <c r="W170" s="24"/>
    </row>
    <row r="171" spans="1:23" s="16" customFormat="1" outlineLevel="1" x14ac:dyDescent="0.25">
      <c r="A171" s="156"/>
      <c r="B171" s="281" t="s">
        <v>180</v>
      </c>
      <c r="C171" s="240"/>
      <c r="D171" s="65">
        <f t="shared" ref="D171:G171" si="246">-D169+D170</f>
        <v>138</v>
      </c>
      <c r="E171" s="65">
        <f t="shared" si="246"/>
        <v>141.4</v>
      </c>
      <c r="F171" s="65">
        <f t="shared" si="246"/>
        <v>125.30000000000001</v>
      </c>
      <c r="G171" s="65">
        <f t="shared" si="246"/>
        <v>77.399999999999991</v>
      </c>
      <c r="H171" s="29"/>
      <c r="I171" s="65">
        <f t="shared" ref="I171:L171" si="247">-I169+I170</f>
        <v>71.599999999999994</v>
      </c>
      <c r="J171" s="65">
        <f t="shared" si="247"/>
        <v>66.8</v>
      </c>
      <c r="K171" s="65">
        <f t="shared" si="247"/>
        <v>173.67999999999998</v>
      </c>
      <c r="L171" s="65">
        <f t="shared" si="247"/>
        <v>259.5</v>
      </c>
      <c r="M171" s="29"/>
      <c r="N171" s="65">
        <f t="shared" ref="N171:Q171" si="248">-N169+N170</f>
        <v>134.9</v>
      </c>
      <c r="O171" s="65">
        <f t="shared" si="248"/>
        <v>180.52500000000001</v>
      </c>
      <c r="P171" s="65">
        <f t="shared" si="248"/>
        <v>136.90625</v>
      </c>
      <c r="Q171" s="65">
        <f t="shared" si="248"/>
        <v>15.995851429640865</v>
      </c>
      <c r="R171" s="29"/>
      <c r="S171" s="65">
        <f t="shared" ref="S171:V171" si="249">-S169+S170</f>
        <v>141.50238281249997</v>
      </c>
      <c r="T171" s="65">
        <f t="shared" si="249"/>
        <v>150.24018066406248</v>
      </c>
      <c r="U171" s="65">
        <f t="shared" si="249"/>
        <v>160.6702032470703</v>
      </c>
      <c r="V171" s="65">
        <f t="shared" si="249"/>
        <v>159.04397865295408</v>
      </c>
      <c r="W171" s="29"/>
    </row>
    <row r="172" spans="1:23" outlineLevel="1" x14ac:dyDescent="0.25">
      <c r="A172" s="142"/>
      <c r="B172" s="277" t="s">
        <v>181</v>
      </c>
      <c r="C172" s="278"/>
      <c r="D172" s="63">
        <v>0</v>
      </c>
      <c r="E172" s="144">
        <f>-0.02*E35</f>
        <v>-25.014000000000003</v>
      </c>
      <c r="F172" s="144">
        <f>0.49*F35</f>
        <v>599.27</v>
      </c>
      <c r="G172" s="144">
        <v>0</v>
      </c>
      <c r="H172" s="245"/>
      <c r="I172" s="144">
        <v>0</v>
      </c>
      <c r="J172" s="144">
        <v>0</v>
      </c>
      <c r="K172" s="144">
        <v>0</v>
      </c>
      <c r="L172" s="144">
        <v>0</v>
      </c>
      <c r="M172" s="24"/>
      <c r="N172" s="144">
        <v>0</v>
      </c>
      <c r="O172" s="41">
        <v>0</v>
      </c>
      <c r="P172" s="41">
        <v>0</v>
      </c>
      <c r="Q172" s="41">
        <v>0</v>
      </c>
      <c r="R172" s="24"/>
      <c r="S172" s="41">
        <v>0</v>
      </c>
      <c r="T172" s="41">
        <v>0</v>
      </c>
      <c r="U172" s="41">
        <v>0</v>
      </c>
      <c r="V172" s="41">
        <v>0</v>
      </c>
      <c r="W172" s="24"/>
    </row>
    <row r="173" spans="1:23" outlineLevel="1" x14ac:dyDescent="0.25">
      <c r="A173" s="142"/>
      <c r="B173" s="318" t="s">
        <v>182</v>
      </c>
      <c r="C173" s="319"/>
      <c r="D173" s="63">
        <v>-41.449999999998646</v>
      </c>
      <c r="E173" s="23">
        <v>79.193999999999548</v>
      </c>
      <c r="F173" s="23">
        <v>-55.109999999999197</v>
      </c>
      <c r="G173" s="23">
        <v>30</v>
      </c>
      <c r="H173" s="24"/>
      <c r="I173" s="23">
        <v>11</v>
      </c>
      <c r="J173" s="23">
        <v>23</v>
      </c>
      <c r="K173" s="23">
        <f>0.03*K35</f>
        <v>35.055</v>
      </c>
      <c r="L173" s="144">
        <v>50.810000000000372</v>
      </c>
      <c r="M173" s="24"/>
      <c r="N173" s="23">
        <f>0.03*N35</f>
        <v>35.49</v>
      </c>
      <c r="O173" s="23">
        <f>+O171*O174</f>
        <v>45.131250000000001</v>
      </c>
      <c r="P173" s="23">
        <f t="shared" ref="P173:Q173" si="250">+P171*P174</f>
        <v>34.2265625</v>
      </c>
      <c r="Q173" s="23">
        <f t="shared" si="250"/>
        <v>3.9989628574102163</v>
      </c>
      <c r="R173" s="24"/>
      <c r="S173" s="23">
        <f>+S171*S174</f>
        <v>35.375595703124993</v>
      </c>
      <c r="T173" s="23">
        <f>+T171*T174</f>
        <v>37.56004516601562</v>
      </c>
      <c r="U173" s="23">
        <f t="shared" ref="U173:V173" si="251">+U171*U174</f>
        <v>40.167550811767576</v>
      </c>
      <c r="V173" s="23">
        <f t="shared" si="251"/>
        <v>39.76099466323852</v>
      </c>
      <c r="W173" s="24"/>
    </row>
    <row r="174" spans="1:23" outlineLevel="1" x14ac:dyDescent="0.25">
      <c r="A174" s="142"/>
      <c r="B174" s="238" t="s">
        <v>183</v>
      </c>
      <c r="C174" s="239"/>
      <c r="D174" s="123">
        <f t="shared" ref="D174:G174" si="252">D173/D171</f>
        <v>-0.30036231884056991</v>
      </c>
      <c r="E174" s="123">
        <f t="shared" si="252"/>
        <v>0.56007072135784686</v>
      </c>
      <c r="F174" s="123">
        <f t="shared" si="252"/>
        <v>-0.43982442138866074</v>
      </c>
      <c r="G174" s="123">
        <f t="shared" si="252"/>
        <v>0.38759689922480622</v>
      </c>
      <c r="H174" s="47"/>
      <c r="I174" s="123">
        <f t="shared" ref="I174:N174" si="253">I173/I171</f>
        <v>0.15363128491620112</v>
      </c>
      <c r="J174" s="123">
        <f t="shared" si="253"/>
        <v>0.34431137724550898</v>
      </c>
      <c r="K174" s="123">
        <f t="shared" si="253"/>
        <v>0.20183671119299865</v>
      </c>
      <c r="L174" s="123">
        <f t="shared" si="253"/>
        <v>0.1957996146435467</v>
      </c>
      <c r="M174" s="47"/>
      <c r="N174" s="123">
        <f t="shared" si="253"/>
        <v>0.26308376575240922</v>
      </c>
      <c r="O174" s="124">
        <v>0.25</v>
      </c>
      <c r="P174" s="124">
        <v>0.25</v>
      </c>
      <c r="Q174" s="124">
        <v>0.25</v>
      </c>
      <c r="R174" s="47"/>
      <c r="S174" s="124">
        <f>Q174</f>
        <v>0.25</v>
      </c>
      <c r="T174" s="124">
        <f>S174</f>
        <v>0.25</v>
      </c>
      <c r="U174" s="124">
        <f>T174</f>
        <v>0.25</v>
      </c>
      <c r="V174" s="124">
        <f>U174</f>
        <v>0.25</v>
      </c>
      <c r="W174" s="47"/>
    </row>
    <row r="175" spans="1:23" x14ac:dyDescent="0.25">
      <c r="A175" s="142"/>
      <c r="B175" s="15"/>
      <c r="C175" s="15"/>
      <c r="D175" s="127"/>
      <c r="E175" s="54"/>
      <c r="F175" s="54"/>
      <c r="G175" s="54"/>
      <c r="H175" s="54"/>
      <c r="I175" s="54"/>
      <c r="J175" s="54"/>
      <c r="K175" s="54"/>
      <c r="L175" s="54"/>
      <c r="M175" s="54"/>
      <c r="N175" s="18"/>
      <c r="P175" s="3"/>
      <c r="Q175" s="3"/>
      <c r="R175" s="54"/>
      <c r="U175" s="3"/>
      <c r="V175" s="3"/>
      <c r="W175" s="54"/>
    </row>
  </sheetData>
  <dataConsolidate/>
  <mergeCells count="63">
    <mergeCell ref="B163:C163"/>
    <mergeCell ref="B164:C164"/>
    <mergeCell ref="B166:C166"/>
    <mergeCell ref="B173:C173"/>
    <mergeCell ref="B154:C154"/>
    <mergeCell ref="B155:C155"/>
    <mergeCell ref="B156:C156"/>
    <mergeCell ref="B157:C157"/>
    <mergeCell ref="B158:C158"/>
    <mergeCell ref="B159:C159"/>
    <mergeCell ref="B149:C149"/>
    <mergeCell ref="B151:C151"/>
    <mergeCell ref="B152:C152"/>
    <mergeCell ref="B153:C153"/>
    <mergeCell ref="B132:C132"/>
    <mergeCell ref="B139:C139"/>
    <mergeCell ref="B145:C145"/>
    <mergeCell ref="B146:C146"/>
    <mergeCell ref="B147:C147"/>
    <mergeCell ref="B148:C148"/>
    <mergeCell ref="B130:C130"/>
    <mergeCell ref="B90:C90"/>
    <mergeCell ref="B94:C94"/>
    <mergeCell ref="B95:C95"/>
    <mergeCell ref="B99:C99"/>
    <mergeCell ref="B100:C100"/>
    <mergeCell ref="B114:C114"/>
    <mergeCell ref="B115:C115"/>
    <mergeCell ref="B117:C117"/>
    <mergeCell ref="B129:C129"/>
    <mergeCell ref="B55:C55"/>
    <mergeCell ref="B59:C59"/>
    <mergeCell ref="B60:C60"/>
    <mergeCell ref="B64:C64"/>
    <mergeCell ref="B65:C65"/>
    <mergeCell ref="B52:C52"/>
    <mergeCell ref="B27:C27"/>
    <mergeCell ref="B28:C28"/>
    <mergeCell ref="B29:C29"/>
    <mergeCell ref="B34:C34"/>
    <mergeCell ref="B35:C35"/>
    <mergeCell ref="B36:C36"/>
    <mergeCell ref="B79:C79"/>
    <mergeCell ref="B87:C87"/>
    <mergeCell ref="B2:C2"/>
    <mergeCell ref="B3:C3"/>
    <mergeCell ref="B4:C4"/>
    <mergeCell ref="B5:C5"/>
    <mergeCell ref="B37:C37"/>
    <mergeCell ref="B41:C41"/>
    <mergeCell ref="B42:C42"/>
    <mergeCell ref="B43:C43"/>
    <mergeCell ref="B44:C44"/>
    <mergeCell ref="B11:C11"/>
    <mergeCell ref="B12:C12"/>
    <mergeCell ref="B13:C13"/>
    <mergeCell ref="B20:C20"/>
    <mergeCell ref="B78:C78"/>
    <mergeCell ref="A7:A8"/>
    <mergeCell ref="B7:C7"/>
    <mergeCell ref="B8:C8"/>
    <mergeCell ref="B9:C9"/>
    <mergeCell ref="B10:C1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74"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A11E0-E4D5-4473-97D9-C605001D7A4C}">
  <dimension ref="A1"/>
  <sheetViews>
    <sheetView topLeftCell="A7" workbookViewId="0">
      <selection activeCell="O49" sqref="O49"/>
    </sheetView>
  </sheetViews>
  <sheetFormatPr defaultColWidth="8.8554687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N41"/>
  <sheetViews>
    <sheetView showGridLines="0" zoomScaleNormal="100" workbookViewId="0">
      <selection activeCell="D22" sqref="D22"/>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56" t="s">
        <v>184</v>
      </c>
    </row>
    <row r="2" spans="2:14" x14ac:dyDescent="0.25">
      <c r="B2" s="56"/>
    </row>
    <row r="3" spans="2:14" x14ac:dyDescent="0.25">
      <c r="B3" s="56"/>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336"/>
      <c r="I7" s="336"/>
      <c r="J7" s="336"/>
      <c r="K7" s="336"/>
      <c r="L7" s="336"/>
      <c r="M7" s="336"/>
      <c r="N7" s="336"/>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56"/>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56"/>
    </row>
    <row r="41" spans="2:2" x14ac:dyDescent="0.25">
      <c r="B41" s="5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Earnings Model (Post-F4Q2020)</vt:lpstr>
      <vt:lpstr>Recon of ASRs</vt:lpstr>
      <vt:lpstr>Charts</vt:lpstr>
      <vt:lpstr>'Earnings Model (Post-F4Q2020)'!Print_Area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John Moschella</cp:lastModifiedBy>
  <cp:revision/>
  <dcterms:created xsi:type="dcterms:W3CDTF">2014-10-18T18:34:10Z</dcterms:created>
  <dcterms:modified xsi:type="dcterms:W3CDTF">2021-04-18T17:13:11Z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