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autoCompressPictures="0" defaultThemeVersion="124226"/>
  <mc:AlternateContent xmlns:mc="http://schemas.openxmlformats.org/markup-compatibility/2006">
    <mc:Choice Requires="x15">
      <x15ac:absPath xmlns:x15ac="http://schemas.microsoft.com/office/spreadsheetml/2010/11/ac" url="C:\Users\Admin\Documents\Articles (2-15-2016)\SQ (Square)\"/>
    </mc:Choice>
  </mc:AlternateContent>
  <bookViews>
    <workbookView xWindow="0" yWindow="0" windowWidth="22980" windowHeight="4104"/>
  </bookViews>
  <sheets>
    <sheet name="Earnings Model" sheetId="3" r:id="rId1"/>
  </sheets>
  <externalReferences>
    <externalReference r:id="rId2"/>
  </externalReferences>
  <definedNames>
    <definedName name="DATA">'[1]Estimates by Analyst'!$B$6:$M$50</definedName>
    <definedName name="_xlnm.Print_Area" localSheetId="0">'Earnings Model'!$A$1:$W$237</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P202" i="3" l="1"/>
  <c r="C210" i="3"/>
  <c r="Q53" i="3"/>
  <c r="Q56" i="3"/>
  <c r="Q11" i="3"/>
  <c r="Q57" i="3"/>
  <c r="Q12" i="3"/>
  <c r="Q59" i="3"/>
  <c r="Q13" i="3"/>
  <c r="Q61" i="3"/>
  <c r="Q14" i="3"/>
  <c r="Q15" i="3"/>
  <c r="Q16" i="3"/>
  <c r="Q17" i="3"/>
  <c r="P67" i="3"/>
  <c r="Q67" i="3"/>
  <c r="Q18" i="3"/>
  <c r="P68" i="3"/>
  <c r="Q68" i="3"/>
  <c r="Q19" i="3"/>
  <c r="Q20" i="3"/>
  <c r="Q21" i="3"/>
  <c r="Q22" i="3"/>
  <c r="P15" i="3"/>
  <c r="P69" i="3"/>
  <c r="Q69" i="3"/>
  <c r="Q25" i="3"/>
  <c r="P70" i="3"/>
  <c r="Q70" i="3"/>
  <c r="Q26" i="3"/>
  <c r="Q27" i="3"/>
  <c r="P72" i="3"/>
  <c r="Q72" i="3"/>
  <c r="Q28" i="3"/>
  <c r="P73" i="3"/>
  <c r="Q73" i="3"/>
  <c r="Q29" i="3"/>
  <c r="Q31" i="3"/>
  <c r="Q32" i="3"/>
  <c r="P75" i="3"/>
  <c r="Q75" i="3"/>
  <c r="Q36" i="3"/>
  <c r="Q35" i="3"/>
  <c r="Q37" i="3"/>
  <c r="P21" i="3"/>
  <c r="P22" i="3"/>
  <c r="P31" i="3"/>
  <c r="P32" i="3"/>
  <c r="P37" i="3"/>
  <c r="P76" i="3"/>
  <c r="Q76" i="3"/>
  <c r="Q38" i="3"/>
  <c r="Q39" i="3"/>
  <c r="Q92" i="3"/>
  <c r="Q93" i="3"/>
  <c r="P84" i="3"/>
  <c r="Q84" i="3"/>
  <c r="Q95" i="3"/>
  <c r="Q96" i="3"/>
  <c r="Q98" i="3"/>
  <c r="Q99" i="3"/>
  <c r="Q100" i="3"/>
  <c r="Q102" i="3"/>
  <c r="Q46" i="3"/>
  <c r="Q103" i="3"/>
  <c r="S59" i="3"/>
  <c r="S13" i="3"/>
  <c r="S53" i="3"/>
  <c r="S56" i="3"/>
  <c r="S11" i="3"/>
  <c r="S57" i="3"/>
  <c r="S12" i="3"/>
  <c r="S61" i="3"/>
  <c r="S14" i="3"/>
  <c r="S15" i="3"/>
  <c r="S21" i="3"/>
  <c r="S22" i="3"/>
  <c r="S69" i="3"/>
  <c r="S25" i="3"/>
  <c r="S70" i="3"/>
  <c r="S26" i="3"/>
  <c r="S71" i="3"/>
  <c r="S27" i="3"/>
  <c r="S72" i="3"/>
  <c r="S28" i="3"/>
  <c r="S73" i="3"/>
  <c r="S29" i="3"/>
  <c r="S31" i="3"/>
  <c r="S32" i="3"/>
  <c r="S75" i="3"/>
  <c r="S36" i="3"/>
  <c r="S74" i="3"/>
  <c r="S35" i="3"/>
  <c r="S37" i="3"/>
  <c r="S76" i="3"/>
  <c r="S38" i="3"/>
  <c r="S39" i="3"/>
  <c r="S92" i="3"/>
  <c r="S99" i="3"/>
  <c r="S100" i="3"/>
  <c r="S84" i="3"/>
  <c r="S95" i="3"/>
  <c r="S96" i="3"/>
  <c r="S98" i="3"/>
  <c r="S102" i="3"/>
  <c r="S46" i="3"/>
  <c r="S103" i="3"/>
  <c r="T59" i="3"/>
  <c r="T13" i="3"/>
  <c r="T53" i="3"/>
  <c r="T56" i="3"/>
  <c r="T11" i="3"/>
  <c r="T58" i="3"/>
  <c r="T57" i="3"/>
  <c r="T12" i="3"/>
  <c r="T61" i="3"/>
  <c r="T14" i="3"/>
  <c r="T15" i="3"/>
  <c r="T21" i="3"/>
  <c r="T22" i="3"/>
  <c r="R25" i="3"/>
  <c r="N15" i="3"/>
  <c r="O15" i="3"/>
  <c r="R15" i="3"/>
  <c r="R69" i="3"/>
  <c r="T69" i="3"/>
  <c r="T25" i="3"/>
  <c r="T70" i="3"/>
  <c r="T26" i="3"/>
  <c r="T71" i="3"/>
  <c r="T27" i="3"/>
  <c r="T72" i="3"/>
  <c r="T28" i="3"/>
  <c r="T73" i="3"/>
  <c r="T29" i="3"/>
  <c r="T31" i="3"/>
  <c r="T32" i="3"/>
  <c r="T75" i="3"/>
  <c r="T36" i="3"/>
  <c r="T74" i="3"/>
  <c r="T35" i="3"/>
  <c r="T37" i="3"/>
  <c r="T76" i="3"/>
  <c r="T38" i="3"/>
  <c r="T39" i="3"/>
  <c r="T92" i="3"/>
  <c r="T99" i="3"/>
  <c r="T100" i="3"/>
  <c r="T84" i="3"/>
  <c r="T95" i="3"/>
  <c r="T96" i="3"/>
  <c r="T98" i="3"/>
  <c r="T102" i="3"/>
  <c r="T46" i="3"/>
  <c r="T103" i="3"/>
  <c r="U59" i="3"/>
  <c r="U13" i="3"/>
  <c r="U53" i="3"/>
  <c r="U56" i="3"/>
  <c r="U11" i="3"/>
  <c r="U58" i="3"/>
  <c r="U57" i="3"/>
  <c r="U12" i="3"/>
  <c r="U61" i="3"/>
  <c r="U14" i="3"/>
  <c r="U15" i="3"/>
  <c r="U77" i="3"/>
  <c r="U21" i="3"/>
  <c r="U22" i="3"/>
  <c r="U69" i="3"/>
  <c r="U25" i="3"/>
  <c r="U70" i="3"/>
  <c r="U26" i="3"/>
  <c r="U71" i="3"/>
  <c r="U27" i="3"/>
  <c r="U72" i="3"/>
  <c r="U28" i="3"/>
  <c r="U73" i="3"/>
  <c r="U29" i="3"/>
  <c r="U31" i="3"/>
  <c r="U32" i="3"/>
  <c r="U75" i="3"/>
  <c r="U36" i="3"/>
  <c r="U74" i="3"/>
  <c r="U35" i="3"/>
  <c r="U37" i="3"/>
  <c r="U76" i="3"/>
  <c r="U38" i="3"/>
  <c r="U39" i="3"/>
  <c r="U92" i="3"/>
  <c r="U99" i="3"/>
  <c r="U100" i="3"/>
  <c r="U84" i="3"/>
  <c r="U95" i="3"/>
  <c r="U96" i="3"/>
  <c r="U98" i="3"/>
  <c r="U102" i="3"/>
  <c r="U46" i="3"/>
  <c r="U103" i="3"/>
  <c r="C205" i="3"/>
  <c r="V59" i="3"/>
  <c r="V13" i="3"/>
  <c r="V53" i="3"/>
  <c r="V56" i="3"/>
  <c r="V11" i="3"/>
  <c r="V58" i="3"/>
  <c r="V57" i="3"/>
  <c r="V12" i="3"/>
  <c r="V61" i="3"/>
  <c r="V14" i="3"/>
  <c r="V15" i="3"/>
  <c r="V77" i="3"/>
  <c r="V21" i="3"/>
  <c r="V22" i="3"/>
  <c r="V69" i="3"/>
  <c r="V25" i="3"/>
  <c r="V70" i="3"/>
  <c r="V26" i="3"/>
  <c r="V71" i="3"/>
  <c r="V27" i="3"/>
  <c r="V72" i="3"/>
  <c r="V28" i="3"/>
  <c r="V73" i="3"/>
  <c r="V29" i="3"/>
  <c r="V31" i="3"/>
  <c r="V32" i="3"/>
  <c r="V75" i="3"/>
  <c r="V36" i="3"/>
  <c r="V74" i="3"/>
  <c r="V35" i="3"/>
  <c r="V37" i="3"/>
  <c r="V76" i="3"/>
  <c r="V38" i="3"/>
  <c r="V39" i="3"/>
  <c r="V92" i="3"/>
  <c r="W92" i="3"/>
  <c r="V99" i="3"/>
  <c r="W99" i="3"/>
  <c r="V100" i="3"/>
  <c r="W100" i="3"/>
  <c r="W93" i="3"/>
  <c r="W94" i="3"/>
  <c r="V84" i="3"/>
  <c r="V95" i="3"/>
  <c r="W95" i="3"/>
  <c r="V96" i="3"/>
  <c r="W96" i="3"/>
  <c r="W97" i="3"/>
  <c r="V98" i="3"/>
  <c r="W98" i="3"/>
  <c r="W101" i="3"/>
  <c r="W102" i="3"/>
  <c r="Q44" i="3"/>
  <c r="S50" i="3"/>
  <c r="O86" i="3"/>
  <c r="O87" i="3"/>
  <c r="O88" i="3"/>
  <c r="O89" i="3"/>
  <c r="P86" i="3"/>
  <c r="P87" i="3"/>
  <c r="P88" i="3"/>
  <c r="P89" i="3"/>
  <c r="Q89" i="3"/>
  <c r="Q86" i="3"/>
  <c r="N86" i="3"/>
  <c r="N87" i="3"/>
  <c r="N88" i="3"/>
  <c r="N89" i="3"/>
  <c r="R89" i="3"/>
  <c r="N93" i="3"/>
  <c r="O93" i="3"/>
  <c r="P93" i="3"/>
  <c r="R93" i="3"/>
  <c r="N94" i="3"/>
  <c r="O94" i="3"/>
  <c r="P94" i="3"/>
  <c r="R94" i="3"/>
  <c r="N84" i="3"/>
  <c r="N95" i="3"/>
  <c r="O84" i="3"/>
  <c r="O95" i="3"/>
  <c r="P95" i="3"/>
  <c r="R95" i="3"/>
  <c r="R96" i="3"/>
  <c r="R97" i="3"/>
  <c r="N98" i="3"/>
  <c r="O98" i="3"/>
  <c r="P98" i="3"/>
  <c r="R98" i="3"/>
  <c r="N99" i="3"/>
  <c r="O99" i="3"/>
  <c r="P99" i="3"/>
  <c r="R99" i="3"/>
  <c r="N100" i="3"/>
  <c r="O100" i="3"/>
  <c r="P100" i="3"/>
  <c r="R100" i="3"/>
  <c r="R101" i="3"/>
  <c r="P79" i="3"/>
  <c r="P23" i="3"/>
  <c r="P24" i="3"/>
  <c r="P78" i="3"/>
  <c r="P77" i="3"/>
  <c r="P74" i="3"/>
  <c r="P71" i="3"/>
  <c r="P66" i="3"/>
  <c r="P65" i="3"/>
  <c r="P107" i="3"/>
  <c r="P106" i="3"/>
  <c r="P105" i="3"/>
  <c r="S89" i="3"/>
  <c r="S86" i="3"/>
  <c r="T89" i="3"/>
  <c r="T86" i="3"/>
  <c r="U89" i="3"/>
  <c r="U86" i="3"/>
  <c r="V89" i="3"/>
  <c r="V86" i="3"/>
  <c r="P85" i="3"/>
  <c r="P55" i="3"/>
  <c r="P54" i="3"/>
  <c r="P58" i="3"/>
  <c r="P60" i="3"/>
  <c r="P62" i="3"/>
  <c r="P139" i="3"/>
  <c r="P142" i="3"/>
  <c r="P151" i="3"/>
  <c r="P152" i="3"/>
  <c r="P124" i="3"/>
  <c r="P131" i="3"/>
  <c r="P153" i="3"/>
  <c r="O200" i="3"/>
  <c r="O194" i="3"/>
  <c r="O195" i="3"/>
  <c r="O196" i="3"/>
  <c r="O184" i="3"/>
  <c r="O185" i="3"/>
  <c r="O186" i="3"/>
  <c r="O187" i="3"/>
  <c r="O188" i="3"/>
  <c r="O189" i="3"/>
  <c r="O191" i="3"/>
  <c r="O21" i="3"/>
  <c r="O22" i="3"/>
  <c r="O31" i="3"/>
  <c r="O32" i="3"/>
  <c r="O37" i="3"/>
  <c r="O39" i="3"/>
  <c r="O158" i="3"/>
  <c r="O169" i="3"/>
  <c r="O170" i="3"/>
  <c r="O172" i="3"/>
  <c r="O173" i="3"/>
  <c r="O174" i="3"/>
  <c r="O175" i="3"/>
  <c r="O176" i="3"/>
  <c r="O177" i="3"/>
  <c r="O178" i="3"/>
  <c r="O179" i="3"/>
  <c r="O180" i="3"/>
  <c r="O181" i="3"/>
  <c r="O197" i="3"/>
  <c r="O198" i="3"/>
  <c r="O201" i="3"/>
  <c r="P200" i="3"/>
  <c r="P194" i="3"/>
  <c r="P195" i="3"/>
  <c r="P196" i="3"/>
  <c r="P184" i="3"/>
  <c r="P185" i="3"/>
  <c r="P186" i="3"/>
  <c r="P187" i="3"/>
  <c r="P189" i="3"/>
  <c r="P191" i="3"/>
  <c r="P39" i="3"/>
  <c r="P158" i="3"/>
  <c r="P159" i="3"/>
  <c r="P160" i="3"/>
  <c r="P163" i="3"/>
  <c r="P164" i="3"/>
  <c r="P165" i="3"/>
  <c r="P166" i="3"/>
  <c r="P169" i="3"/>
  <c r="P170" i="3"/>
  <c r="P171" i="3"/>
  <c r="P172" i="3"/>
  <c r="P173" i="3"/>
  <c r="P174" i="3"/>
  <c r="P175" i="3"/>
  <c r="P176" i="3"/>
  <c r="P177" i="3"/>
  <c r="P178" i="3"/>
  <c r="P179" i="3"/>
  <c r="P180" i="3"/>
  <c r="P181" i="3"/>
  <c r="P197" i="3"/>
  <c r="P198" i="3"/>
  <c r="P201" i="3"/>
  <c r="P199" i="3"/>
  <c r="P203" i="3"/>
  <c r="O70" i="3"/>
  <c r="O72" i="3"/>
  <c r="O73" i="3"/>
  <c r="O75" i="3"/>
  <c r="O67" i="3"/>
  <c r="O68" i="3"/>
  <c r="O202" i="3"/>
  <c r="P92" i="3"/>
  <c r="P102" i="3"/>
  <c r="P103" i="3"/>
  <c r="O76" i="3"/>
  <c r="V46" i="3"/>
  <c r="N21" i="3"/>
  <c r="N22" i="3"/>
  <c r="N31" i="3"/>
  <c r="N32" i="3"/>
  <c r="N37" i="3"/>
  <c r="N39" i="3"/>
  <c r="N92" i="3"/>
  <c r="N102" i="3"/>
  <c r="N103" i="3"/>
  <c r="O92" i="3"/>
  <c r="O102" i="3"/>
  <c r="O103" i="3"/>
  <c r="I15" i="3"/>
  <c r="I21" i="3"/>
  <c r="I22" i="3"/>
  <c r="I31" i="3"/>
  <c r="I32" i="3"/>
  <c r="I37" i="3"/>
  <c r="I39" i="3"/>
  <c r="I92" i="3"/>
  <c r="I93" i="3"/>
  <c r="I94" i="3"/>
  <c r="I84" i="3"/>
  <c r="I95" i="3"/>
  <c r="I98" i="3"/>
  <c r="I99" i="3"/>
  <c r="I100" i="3"/>
  <c r="I102" i="3"/>
  <c r="I103" i="3"/>
  <c r="J15" i="3"/>
  <c r="J21" i="3"/>
  <c r="J22" i="3"/>
  <c r="J31" i="3"/>
  <c r="J32" i="3"/>
  <c r="J37" i="3"/>
  <c r="J39" i="3"/>
  <c r="J92" i="3"/>
  <c r="J93" i="3"/>
  <c r="J94" i="3"/>
  <c r="J84" i="3"/>
  <c r="J95" i="3"/>
  <c r="J98" i="3"/>
  <c r="J99" i="3"/>
  <c r="J100" i="3"/>
  <c r="J102" i="3"/>
  <c r="J103" i="3"/>
  <c r="K15" i="3"/>
  <c r="K21" i="3"/>
  <c r="K22" i="3"/>
  <c r="K31" i="3"/>
  <c r="K32" i="3"/>
  <c r="K37" i="3"/>
  <c r="K39" i="3"/>
  <c r="K92" i="3"/>
  <c r="K93" i="3"/>
  <c r="K94" i="3"/>
  <c r="K84" i="3"/>
  <c r="K95" i="3"/>
  <c r="K98" i="3"/>
  <c r="K99" i="3"/>
  <c r="K100" i="3"/>
  <c r="K102" i="3"/>
  <c r="K103" i="3"/>
  <c r="L15" i="3"/>
  <c r="L21" i="3"/>
  <c r="L22" i="3"/>
  <c r="L31" i="3"/>
  <c r="L32" i="3"/>
  <c r="L37" i="3"/>
  <c r="L39" i="3"/>
  <c r="L92" i="3"/>
  <c r="L93" i="3"/>
  <c r="L94" i="3"/>
  <c r="L84" i="3"/>
  <c r="L95" i="3"/>
  <c r="L98" i="3"/>
  <c r="L99" i="3"/>
  <c r="L100" i="3"/>
  <c r="L102" i="3"/>
  <c r="L103" i="3"/>
  <c r="M103" i="3"/>
  <c r="D15" i="3"/>
  <c r="D21" i="3"/>
  <c r="D22" i="3"/>
  <c r="D31" i="3"/>
  <c r="D32" i="3"/>
  <c r="D37" i="3"/>
  <c r="D39" i="3"/>
  <c r="D92" i="3"/>
  <c r="D93" i="3"/>
  <c r="D94" i="3"/>
  <c r="D84" i="3"/>
  <c r="D95" i="3"/>
  <c r="D98" i="3"/>
  <c r="D99" i="3"/>
  <c r="D100" i="3"/>
  <c r="D102" i="3"/>
  <c r="D103" i="3"/>
  <c r="E15" i="3"/>
  <c r="E21" i="3"/>
  <c r="E22" i="3"/>
  <c r="E31" i="3"/>
  <c r="E32" i="3"/>
  <c r="E37" i="3"/>
  <c r="E39" i="3"/>
  <c r="E92" i="3"/>
  <c r="E93" i="3"/>
  <c r="E94" i="3"/>
  <c r="E84" i="3"/>
  <c r="E95" i="3"/>
  <c r="E98" i="3"/>
  <c r="E99" i="3"/>
  <c r="E100" i="3"/>
  <c r="E102" i="3"/>
  <c r="E103" i="3"/>
  <c r="F15" i="3"/>
  <c r="F21" i="3"/>
  <c r="F22" i="3"/>
  <c r="F31" i="3"/>
  <c r="F32" i="3"/>
  <c r="F37" i="3"/>
  <c r="F39" i="3"/>
  <c r="F92" i="3"/>
  <c r="F93" i="3"/>
  <c r="F94" i="3"/>
  <c r="F84" i="3"/>
  <c r="F95" i="3"/>
  <c r="F98" i="3"/>
  <c r="F99" i="3"/>
  <c r="F100" i="3"/>
  <c r="F102" i="3"/>
  <c r="F103" i="3"/>
  <c r="G15" i="3"/>
  <c r="G21" i="3"/>
  <c r="G22" i="3"/>
  <c r="G31" i="3"/>
  <c r="G32" i="3"/>
  <c r="G37" i="3"/>
  <c r="G39" i="3"/>
  <c r="G92" i="3"/>
  <c r="G93" i="3"/>
  <c r="G94" i="3"/>
  <c r="G84" i="3"/>
  <c r="G95" i="3"/>
  <c r="G98" i="3"/>
  <c r="G99" i="3"/>
  <c r="G100" i="3"/>
  <c r="G102" i="3"/>
  <c r="G103" i="3"/>
  <c r="H103" i="3"/>
  <c r="N202" i="3"/>
  <c r="M15" i="3"/>
  <c r="M21" i="3"/>
  <c r="M22" i="3"/>
  <c r="M26" i="3"/>
  <c r="M27" i="3"/>
  <c r="M28" i="3"/>
  <c r="M29" i="3"/>
  <c r="M25" i="3"/>
  <c r="M30" i="3"/>
  <c r="M31" i="3"/>
  <c r="M32" i="3"/>
  <c r="M36" i="3"/>
  <c r="M35" i="3"/>
  <c r="M37" i="3"/>
  <c r="M38" i="3"/>
  <c r="M39" i="3"/>
  <c r="I33" i="3"/>
  <c r="J33" i="3"/>
  <c r="K33" i="3"/>
  <c r="L33" i="3"/>
  <c r="M33" i="3"/>
  <c r="I86" i="3"/>
  <c r="I87" i="3"/>
  <c r="I88" i="3"/>
  <c r="I89" i="3"/>
  <c r="I23" i="3"/>
  <c r="J86" i="3"/>
  <c r="J87" i="3"/>
  <c r="J88" i="3"/>
  <c r="J89" i="3"/>
  <c r="J23" i="3"/>
  <c r="K86" i="3"/>
  <c r="K87" i="3"/>
  <c r="K88" i="3"/>
  <c r="K89" i="3"/>
  <c r="K23" i="3"/>
  <c r="L86" i="3"/>
  <c r="L87" i="3"/>
  <c r="L88" i="3"/>
  <c r="L89" i="3"/>
  <c r="L23" i="3"/>
  <c r="M23" i="3"/>
  <c r="M40" i="3"/>
  <c r="M41" i="3"/>
  <c r="I41" i="3"/>
  <c r="J41" i="3"/>
  <c r="K41" i="3"/>
  <c r="L41" i="3"/>
  <c r="M46" i="3"/>
  <c r="M117" i="3"/>
  <c r="M118" i="3"/>
  <c r="M128" i="3"/>
  <c r="M141" i="3"/>
  <c r="M202" i="3"/>
  <c r="L202" i="3"/>
  <c r="K202" i="3"/>
  <c r="J202" i="3"/>
  <c r="R57" i="3"/>
  <c r="R59" i="3"/>
  <c r="R61" i="3"/>
  <c r="P50" i="3"/>
  <c r="O50" i="3"/>
  <c r="N43" i="3"/>
  <c r="O43" i="3"/>
  <c r="O66" i="3"/>
  <c r="O71" i="3"/>
  <c r="P43" i="3"/>
  <c r="S20" i="3"/>
  <c r="T20" i="3"/>
  <c r="U20" i="3"/>
  <c r="V20" i="3"/>
  <c r="W20" i="3"/>
  <c r="S68" i="3"/>
  <c r="S19" i="3"/>
  <c r="T68" i="3"/>
  <c r="T19" i="3"/>
  <c r="U68" i="3"/>
  <c r="U19" i="3"/>
  <c r="V68" i="3"/>
  <c r="V19" i="3"/>
  <c r="W19" i="3"/>
  <c r="S67" i="3"/>
  <c r="S18" i="3"/>
  <c r="T67" i="3"/>
  <c r="T18" i="3"/>
  <c r="U67" i="3"/>
  <c r="U18" i="3"/>
  <c r="V67" i="3"/>
  <c r="V18" i="3"/>
  <c r="W18" i="3"/>
  <c r="S17" i="3"/>
  <c r="T17" i="3"/>
  <c r="U17" i="3"/>
  <c r="V17" i="3"/>
  <c r="W17" i="3"/>
  <c r="R17" i="3"/>
  <c r="R18" i="3"/>
  <c r="R19" i="3"/>
  <c r="R20" i="3"/>
  <c r="N69" i="3"/>
  <c r="O69" i="3"/>
  <c r="J69" i="3"/>
  <c r="K69" i="3"/>
  <c r="L69" i="3"/>
  <c r="I69" i="3"/>
  <c r="H25" i="3"/>
  <c r="H15" i="3"/>
  <c r="H69" i="3"/>
  <c r="E69" i="3"/>
  <c r="F69" i="3"/>
  <c r="G69" i="3"/>
  <c r="D69" i="3"/>
  <c r="G68" i="3"/>
  <c r="F68" i="3"/>
  <c r="E68" i="3"/>
  <c r="D68" i="3"/>
  <c r="G67" i="3"/>
  <c r="F67" i="3"/>
  <c r="E67" i="3"/>
  <c r="D67" i="3"/>
  <c r="I68" i="3"/>
  <c r="I67" i="3"/>
  <c r="J68" i="3"/>
  <c r="J67" i="3"/>
  <c r="K68" i="3"/>
  <c r="K67" i="3"/>
  <c r="L68" i="3"/>
  <c r="L67" i="3"/>
  <c r="N67" i="3"/>
  <c r="N68" i="3"/>
  <c r="N66" i="3"/>
  <c r="L66" i="3"/>
  <c r="K66" i="3"/>
  <c r="J66" i="3"/>
  <c r="I66" i="3"/>
  <c r="E66" i="3"/>
  <c r="F66" i="3"/>
  <c r="G66" i="3"/>
  <c r="D66" i="3"/>
  <c r="W57" i="3"/>
  <c r="W58" i="3"/>
  <c r="W61" i="3"/>
  <c r="W62" i="3"/>
  <c r="M61" i="3"/>
  <c r="R62" i="3"/>
  <c r="W59" i="3"/>
  <c r="W60" i="3"/>
  <c r="M59" i="3"/>
  <c r="R60" i="3"/>
  <c r="W12" i="3"/>
  <c r="W13" i="3"/>
  <c r="W14" i="3"/>
  <c r="M57" i="3"/>
  <c r="R58" i="3"/>
  <c r="R14" i="3"/>
  <c r="R12" i="3"/>
  <c r="M53" i="3"/>
  <c r="G65" i="3"/>
  <c r="F65" i="3"/>
  <c r="E65" i="3"/>
  <c r="D65" i="3"/>
  <c r="J65" i="3"/>
  <c r="I65" i="3"/>
  <c r="L65" i="3"/>
  <c r="K65" i="3"/>
  <c r="N65" i="3"/>
  <c r="E55" i="3"/>
  <c r="G55" i="3"/>
  <c r="F55" i="3"/>
  <c r="I55" i="3"/>
  <c r="J55" i="3"/>
  <c r="L55" i="3"/>
  <c r="K55" i="3"/>
  <c r="N55" i="3"/>
  <c r="G54" i="3"/>
  <c r="F54" i="3"/>
  <c r="E54" i="3"/>
  <c r="I54" i="3"/>
  <c r="J54" i="3"/>
  <c r="K54" i="3"/>
  <c r="L54" i="3"/>
  <c r="H53" i="3"/>
  <c r="M54" i="3"/>
  <c r="N54" i="3"/>
  <c r="O60" i="3"/>
  <c r="O62" i="3"/>
  <c r="O65" i="3"/>
  <c r="O54" i="3"/>
  <c r="O55" i="3"/>
  <c r="H184" i="3"/>
  <c r="H185" i="3"/>
  <c r="H186" i="3"/>
  <c r="H191" i="3"/>
  <c r="H21" i="3"/>
  <c r="H22" i="3"/>
  <c r="H26" i="3"/>
  <c r="H27" i="3"/>
  <c r="H28" i="3"/>
  <c r="H29" i="3"/>
  <c r="H30" i="3"/>
  <c r="H31" i="3"/>
  <c r="H32" i="3"/>
  <c r="H36" i="3"/>
  <c r="H35" i="3"/>
  <c r="H37" i="3"/>
  <c r="H38" i="3"/>
  <c r="H39" i="3"/>
  <c r="H158" i="3"/>
  <c r="H170" i="3"/>
  <c r="H171" i="3"/>
  <c r="H181" i="3"/>
  <c r="H197" i="3"/>
  <c r="H201" i="3"/>
  <c r="H199" i="3"/>
  <c r="Q45" i="3"/>
  <c r="S45" i="3"/>
  <c r="T45" i="3"/>
  <c r="H117" i="3"/>
  <c r="H203" i="3"/>
  <c r="N74" i="3"/>
  <c r="S44" i="3"/>
  <c r="W30" i="3"/>
  <c r="W35" i="3"/>
  <c r="Q81" i="3"/>
  <c r="S81" i="3"/>
  <c r="Q82" i="3"/>
  <c r="S82" i="3"/>
  <c r="Q83" i="3"/>
  <c r="S83" i="3"/>
  <c r="S33" i="3"/>
  <c r="T81" i="3"/>
  <c r="T82" i="3"/>
  <c r="T83" i="3"/>
  <c r="T33" i="3"/>
  <c r="U81" i="3"/>
  <c r="U82" i="3"/>
  <c r="U83" i="3"/>
  <c r="U33" i="3"/>
  <c r="V81" i="3"/>
  <c r="V82" i="3"/>
  <c r="V83" i="3"/>
  <c r="V33" i="3"/>
  <c r="W33" i="3"/>
  <c r="W40" i="3"/>
  <c r="R30" i="3"/>
  <c r="R35" i="3"/>
  <c r="N23" i="3"/>
  <c r="O23" i="3"/>
  <c r="N33" i="3"/>
  <c r="O33" i="3"/>
  <c r="P33" i="3"/>
  <c r="Q33" i="3"/>
  <c r="R33" i="3"/>
  <c r="R40" i="3"/>
  <c r="N41" i="3"/>
  <c r="O41" i="3"/>
  <c r="U45" i="3"/>
  <c r="V45" i="3"/>
  <c r="T44" i="3"/>
  <c r="U44" i="3"/>
  <c r="V44" i="3"/>
  <c r="O107" i="3"/>
  <c r="O106" i="3"/>
  <c r="O105" i="3"/>
  <c r="N107" i="3"/>
  <c r="N106" i="3"/>
  <c r="N105" i="3"/>
  <c r="K105" i="3"/>
  <c r="L105" i="3"/>
  <c r="K106" i="3"/>
  <c r="L106" i="3"/>
  <c r="K107" i="3"/>
  <c r="L107" i="3"/>
  <c r="J106" i="3"/>
  <c r="J107" i="3"/>
  <c r="J105" i="3"/>
  <c r="I106" i="3"/>
  <c r="I107" i="3"/>
  <c r="I105" i="3"/>
  <c r="O74" i="3"/>
  <c r="W42" i="3"/>
  <c r="R42" i="3"/>
  <c r="W81" i="3"/>
  <c r="W82" i="3"/>
  <c r="W83" i="3"/>
  <c r="W84" i="3"/>
  <c r="R81" i="3"/>
  <c r="R82" i="3"/>
  <c r="R83" i="3"/>
  <c r="R84" i="3"/>
  <c r="I196" i="3"/>
  <c r="I191" i="3"/>
  <c r="I158" i="3"/>
  <c r="I160" i="3"/>
  <c r="I181" i="3"/>
  <c r="I197" i="3"/>
  <c r="I201" i="3"/>
  <c r="J200" i="3"/>
  <c r="J195" i="3"/>
  <c r="J196" i="3"/>
  <c r="J187" i="3"/>
  <c r="J188" i="3"/>
  <c r="J191" i="3"/>
  <c r="J158" i="3"/>
  <c r="J160" i="3"/>
  <c r="J163" i="3"/>
  <c r="J164" i="3"/>
  <c r="J165" i="3"/>
  <c r="J169" i="3"/>
  <c r="J172" i="3"/>
  <c r="J173" i="3"/>
  <c r="J174" i="3"/>
  <c r="J175" i="3"/>
  <c r="J176" i="3"/>
  <c r="J177" i="3"/>
  <c r="J178" i="3"/>
  <c r="J179" i="3"/>
  <c r="J180" i="3"/>
  <c r="J181" i="3"/>
  <c r="J197" i="3"/>
  <c r="J198" i="3"/>
  <c r="J201" i="3"/>
  <c r="J203" i="3"/>
  <c r="M158" i="3"/>
  <c r="M170" i="3"/>
  <c r="M171" i="3"/>
  <c r="M181" i="3"/>
  <c r="M184" i="3"/>
  <c r="M185" i="3"/>
  <c r="M186" i="3"/>
  <c r="M191" i="3"/>
  <c r="M197" i="3"/>
  <c r="M201" i="3"/>
  <c r="M203" i="3"/>
  <c r="K200" i="3"/>
  <c r="K196" i="3"/>
  <c r="K187" i="3"/>
  <c r="K190" i="3"/>
  <c r="K191" i="3"/>
  <c r="K158" i="3"/>
  <c r="L160" i="3"/>
  <c r="K160" i="3"/>
  <c r="K163" i="3"/>
  <c r="K164" i="3"/>
  <c r="K169" i="3"/>
  <c r="K172" i="3"/>
  <c r="K173" i="3"/>
  <c r="K174" i="3"/>
  <c r="K175" i="3"/>
  <c r="K176" i="3"/>
  <c r="K177" i="3"/>
  <c r="K178" i="3"/>
  <c r="K179" i="3"/>
  <c r="K180" i="3"/>
  <c r="K181" i="3"/>
  <c r="K197" i="3"/>
  <c r="K198" i="3"/>
  <c r="K201" i="3"/>
  <c r="K203" i="3"/>
  <c r="L200" i="3"/>
  <c r="L196" i="3"/>
  <c r="L187" i="3"/>
  <c r="L188" i="3"/>
  <c r="L189" i="3"/>
  <c r="L190" i="3"/>
  <c r="L191" i="3"/>
  <c r="L158" i="3"/>
  <c r="L163" i="3"/>
  <c r="L164" i="3"/>
  <c r="L165" i="3"/>
  <c r="L166" i="3"/>
  <c r="L169" i="3"/>
  <c r="L172" i="3"/>
  <c r="L173" i="3"/>
  <c r="L174" i="3"/>
  <c r="L175" i="3"/>
  <c r="L176" i="3"/>
  <c r="L177" i="3"/>
  <c r="L178" i="3"/>
  <c r="L179" i="3"/>
  <c r="L180" i="3"/>
  <c r="L181" i="3"/>
  <c r="L197" i="3"/>
  <c r="L198" i="3"/>
  <c r="L201" i="3"/>
  <c r="L203" i="3"/>
  <c r="M144" i="3"/>
  <c r="M199" i="3"/>
  <c r="L199" i="3"/>
  <c r="K199" i="3"/>
  <c r="J199" i="3"/>
  <c r="M182" i="3"/>
  <c r="M183" i="3"/>
  <c r="I199" i="3"/>
  <c r="H118" i="3"/>
  <c r="D33" i="3"/>
  <c r="D86" i="3"/>
  <c r="D87" i="3"/>
  <c r="D88" i="3"/>
  <c r="D89" i="3"/>
  <c r="D23" i="3"/>
  <c r="D41" i="3"/>
  <c r="E33" i="3"/>
  <c r="F33" i="3"/>
  <c r="G33" i="3"/>
  <c r="H33" i="3"/>
  <c r="E86" i="3"/>
  <c r="E87" i="3"/>
  <c r="E88" i="3"/>
  <c r="E89" i="3"/>
  <c r="E23" i="3"/>
  <c r="F86" i="3"/>
  <c r="F87" i="3"/>
  <c r="F88" i="3"/>
  <c r="F89" i="3"/>
  <c r="F23" i="3"/>
  <c r="G86" i="3"/>
  <c r="G87" i="3"/>
  <c r="G88" i="3"/>
  <c r="G89" i="3"/>
  <c r="G23" i="3"/>
  <c r="H23" i="3"/>
  <c r="H40" i="3"/>
  <c r="H41" i="3"/>
  <c r="E41" i="3"/>
  <c r="F41" i="3"/>
  <c r="G41" i="3"/>
  <c r="H46" i="3"/>
  <c r="O203" i="3"/>
  <c r="N203" i="3"/>
  <c r="L24" i="3"/>
  <c r="O77" i="3"/>
  <c r="O85" i="3"/>
  <c r="N85" i="3"/>
  <c r="M92" i="3"/>
  <c r="M12" i="3"/>
  <c r="M93" i="3"/>
  <c r="M17" i="3"/>
  <c r="M94" i="3"/>
  <c r="M81" i="3"/>
  <c r="M82" i="3"/>
  <c r="M83" i="3"/>
  <c r="M84" i="3"/>
  <c r="M95" i="3"/>
  <c r="M96" i="3"/>
  <c r="M97" i="3"/>
  <c r="M98" i="3"/>
  <c r="M99" i="3"/>
  <c r="M100" i="3"/>
  <c r="M102" i="3"/>
  <c r="S87" i="3"/>
  <c r="T87" i="3"/>
  <c r="U87" i="3"/>
  <c r="V87" i="3"/>
  <c r="W87" i="3"/>
  <c r="R87" i="3"/>
  <c r="O24" i="3"/>
  <c r="M86" i="3"/>
  <c r="M87" i="3"/>
  <c r="M88" i="3"/>
  <c r="M89" i="3"/>
  <c r="O58" i="3"/>
  <c r="O90" i="3"/>
  <c r="N90" i="3"/>
  <c r="H86" i="3"/>
  <c r="H87" i="3"/>
  <c r="H88" i="3"/>
  <c r="H89" i="3"/>
  <c r="M90" i="3"/>
  <c r="L90" i="3"/>
  <c r="I90" i="3"/>
  <c r="K90" i="3"/>
  <c r="J90" i="3"/>
  <c r="F90" i="3"/>
  <c r="G90" i="3"/>
  <c r="E90" i="3"/>
  <c r="O104" i="3"/>
  <c r="N104" i="3"/>
  <c r="M104" i="3"/>
  <c r="H92" i="3"/>
  <c r="H12" i="3"/>
  <c r="H93" i="3"/>
  <c r="H17" i="3"/>
  <c r="H94" i="3"/>
  <c r="H81" i="3"/>
  <c r="H82" i="3"/>
  <c r="H83" i="3"/>
  <c r="H84" i="3"/>
  <c r="H95" i="3"/>
  <c r="H96" i="3"/>
  <c r="H97" i="3"/>
  <c r="H98" i="3"/>
  <c r="H99" i="3"/>
  <c r="H100" i="3"/>
  <c r="H102" i="3"/>
  <c r="H104" i="3"/>
  <c r="L104" i="3"/>
  <c r="K104" i="3"/>
  <c r="J104" i="3"/>
  <c r="I104" i="3"/>
  <c r="E104" i="3"/>
  <c r="F104" i="3"/>
  <c r="G104" i="3"/>
  <c r="D104" i="3"/>
  <c r="O34" i="3"/>
  <c r="N24" i="3"/>
  <c r="N34" i="3"/>
  <c r="L34" i="3"/>
  <c r="K24" i="3"/>
  <c r="K34" i="3"/>
  <c r="J24" i="3"/>
  <c r="J34" i="3"/>
  <c r="I24" i="3"/>
  <c r="I34" i="3"/>
  <c r="D24" i="3"/>
  <c r="D34" i="3"/>
  <c r="M34" i="3"/>
  <c r="M79" i="3"/>
  <c r="M18" i="3"/>
  <c r="M19" i="3"/>
  <c r="M20" i="3"/>
  <c r="M24" i="3"/>
  <c r="M78" i="3"/>
  <c r="M77" i="3"/>
  <c r="M76" i="3"/>
  <c r="M75" i="3"/>
  <c r="M73" i="3"/>
  <c r="M72" i="3"/>
  <c r="M71" i="3"/>
  <c r="M70" i="3"/>
  <c r="M11" i="3"/>
  <c r="M69" i="3"/>
  <c r="H34" i="3"/>
  <c r="H79" i="3"/>
  <c r="H18" i="3"/>
  <c r="H19" i="3"/>
  <c r="H20" i="3"/>
  <c r="H24" i="3"/>
  <c r="H78" i="3"/>
  <c r="H77" i="3"/>
  <c r="H76" i="3"/>
  <c r="H75" i="3"/>
  <c r="H73" i="3"/>
  <c r="H72" i="3"/>
  <c r="H71" i="3"/>
  <c r="H70" i="3"/>
  <c r="H11" i="3"/>
  <c r="E24" i="3"/>
  <c r="E34" i="3"/>
  <c r="F24" i="3"/>
  <c r="F34" i="3"/>
  <c r="G24" i="3"/>
  <c r="G34" i="3"/>
  <c r="E50" i="3"/>
  <c r="F50" i="3"/>
  <c r="G50" i="3"/>
  <c r="H56" i="3"/>
  <c r="H57" i="3"/>
  <c r="H59" i="3"/>
  <c r="H61" i="3"/>
  <c r="H50" i="3"/>
  <c r="I50" i="3"/>
  <c r="J50" i="3"/>
  <c r="K50" i="3"/>
  <c r="L50" i="3"/>
  <c r="M56" i="3"/>
  <c r="M50" i="3"/>
  <c r="N50" i="3"/>
  <c r="D50" i="3"/>
  <c r="M62" i="3"/>
  <c r="M60" i="3"/>
  <c r="N62" i="3"/>
  <c r="L62" i="3"/>
  <c r="K62" i="3"/>
  <c r="J62" i="3"/>
  <c r="I62" i="3"/>
  <c r="N60" i="3"/>
  <c r="L60" i="3"/>
  <c r="K60" i="3"/>
  <c r="J60" i="3"/>
  <c r="I60" i="3"/>
  <c r="G62" i="3"/>
  <c r="F62" i="3"/>
  <c r="E62" i="3"/>
  <c r="G60" i="3"/>
  <c r="F60" i="3"/>
  <c r="E60" i="3"/>
  <c r="N58" i="3"/>
  <c r="M58" i="3"/>
  <c r="L58" i="3"/>
  <c r="K58" i="3"/>
  <c r="J58" i="3"/>
  <c r="I58" i="3"/>
  <c r="G58" i="3"/>
  <c r="F58" i="3"/>
  <c r="E58" i="3"/>
  <c r="N73" i="3"/>
  <c r="L73" i="3"/>
  <c r="K73" i="3"/>
  <c r="J73" i="3"/>
  <c r="I73" i="3"/>
  <c r="E73" i="3"/>
  <c r="F73" i="3"/>
  <c r="G73" i="3"/>
  <c r="D73" i="3"/>
  <c r="N72" i="3"/>
  <c r="L72" i="3"/>
  <c r="K72" i="3"/>
  <c r="J72" i="3"/>
  <c r="I72" i="3"/>
  <c r="E72" i="3"/>
  <c r="F72" i="3"/>
  <c r="G72" i="3"/>
  <c r="D72" i="3"/>
  <c r="E74" i="3"/>
  <c r="F74" i="3"/>
  <c r="G74" i="3"/>
  <c r="I74" i="3"/>
  <c r="J74" i="3"/>
  <c r="K74" i="3"/>
  <c r="L74" i="3"/>
  <c r="O78" i="3"/>
  <c r="N78" i="3"/>
  <c r="L78" i="3"/>
  <c r="K78" i="3"/>
  <c r="J78" i="3"/>
  <c r="I78" i="3"/>
  <c r="E78" i="3"/>
  <c r="F78" i="3"/>
  <c r="G78" i="3"/>
  <c r="D78" i="3"/>
  <c r="N70" i="3"/>
  <c r="L70" i="3"/>
  <c r="K70" i="3"/>
  <c r="J70" i="3"/>
  <c r="I70" i="3"/>
  <c r="E70" i="3"/>
  <c r="F70" i="3"/>
  <c r="G70" i="3"/>
  <c r="D70" i="3"/>
  <c r="O79" i="3"/>
  <c r="N79" i="3"/>
  <c r="L79" i="3"/>
  <c r="K79" i="3"/>
  <c r="J79" i="3"/>
  <c r="I79" i="3"/>
  <c r="E79" i="3"/>
  <c r="F79" i="3"/>
  <c r="G79" i="3"/>
  <c r="D79" i="3"/>
  <c r="N71" i="3"/>
  <c r="L71" i="3"/>
  <c r="K71" i="3"/>
  <c r="J71" i="3"/>
  <c r="I71" i="3"/>
  <c r="E71" i="3"/>
  <c r="F71" i="3"/>
  <c r="G71" i="3"/>
  <c r="D71" i="3"/>
  <c r="N75" i="3"/>
  <c r="L75" i="3"/>
  <c r="K75" i="3"/>
  <c r="J75" i="3"/>
  <c r="I75" i="3"/>
  <c r="E75" i="3"/>
  <c r="F75" i="3"/>
  <c r="G75" i="3"/>
  <c r="D75" i="3"/>
  <c r="N76" i="3"/>
  <c r="L76" i="3"/>
  <c r="K76" i="3"/>
  <c r="J76" i="3"/>
  <c r="I76" i="3"/>
  <c r="E76" i="3"/>
  <c r="F76" i="3"/>
  <c r="G76" i="3"/>
  <c r="D76" i="3"/>
  <c r="N77" i="3"/>
  <c r="L77" i="3"/>
  <c r="K77" i="3"/>
  <c r="J77" i="3"/>
  <c r="I77" i="3"/>
  <c r="E77" i="3"/>
  <c r="F77" i="3"/>
  <c r="G77" i="3"/>
  <c r="D77" i="3"/>
  <c r="M101" i="3"/>
  <c r="H101" i="3"/>
  <c r="M85" i="3"/>
  <c r="I85" i="3"/>
  <c r="L85" i="3"/>
  <c r="J85" i="3"/>
  <c r="K85" i="3"/>
  <c r="H85" i="3"/>
  <c r="E85" i="3"/>
  <c r="F85" i="3"/>
  <c r="G85" i="3"/>
  <c r="D85" i="3"/>
  <c r="O199" i="3"/>
  <c r="N196" i="3"/>
  <c r="N191" i="3"/>
  <c r="N158" i="3"/>
  <c r="N181" i="3"/>
  <c r="N197" i="3"/>
  <c r="H146" i="3"/>
  <c r="H144" i="3"/>
  <c r="H140" i="3"/>
  <c r="H135" i="3"/>
  <c r="H136" i="3"/>
  <c r="H137" i="3"/>
  <c r="H138" i="3"/>
  <c r="H127" i="3"/>
  <c r="H128" i="3"/>
  <c r="H129" i="3"/>
  <c r="H130" i="3"/>
  <c r="H119" i="3"/>
  <c r="H120" i="3"/>
  <c r="H121" i="3"/>
  <c r="H122" i="3"/>
  <c r="H123" i="3"/>
  <c r="H13" i="3"/>
  <c r="H14" i="3"/>
  <c r="H16" i="3"/>
  <c r="F43" i="3"/>
  <c r="D43" i="3"/>
  <c r="E43" i="3"/>
  <c r="G43" i="3"/>
  <c r="H43" i="3"/>
  <c r="H42" i="3"/>
  <c r="I43" i="3"/>
  <c r="J43" i="3"/>
  <c r="K43" i="3"/>
  <c r="L43" i="3"/>
  <c r="M43" i="3"/>
  <c r="M44" i="3"/>
  <c r="M45" i="3"/>
  <c r="M42" i="3"/>
  <c r="L48" i="3"/>
  <c r="L47" i="3"/>
  <c r="M13" i="3"/>
  <c r="M14" i="3"/>
  <c r="M16" i="3"/>
  <c r="N199" i="3"/>
  <c r="M119" i="3"/>
  <c r="M120" i="3"/>
  <c r="M121" i="3"/>
  <c r="M122" i="3"/>
  <c r="M135" i="3"/>
  <c r="M136" i="3"/>
  <c r="M137" i="3"/>
  <c r="M138" i="3"/>
  <c r="N151" i="3"/>
  <c r="N139" i="3"/>
  <c r="N142" i="3"/>
  <c r="N152" i="3"/>
  <c r="O139" i="3"/>
  <c r="O142" i="3"/>
  <c r="N124" i="3"/>
  <c r="N131" i="3"/>
  <c r="M129" i="3"/>
  <c r="N153" i="3"/>
  <c r="O151" i="3"/>
  <c r="O152" i="3"/>
  <c r="O124" i="3"/>
  <c r="O131" i="3"/>
  <c r="O153" i="3"/>
  <c r="E151" i="3"/>
  <c r="E139" i="3"/>
  <c r="E142" i="3"/>
  <c r="E152" i="3"/>
  <c r="E124" i="3"/>
  <c r="E131" i="3"/>
  <c r="E153" i="3"/>
  <c r="F151" i="3"/>
  <c r="F139" i="3"/>
  <c r="F142" i="3"/>
  <c r="F152" i="3"/>
  <c r="F124" i="3"/>
  <c r="F131" i="3"/>
  <c r="F153" i="3"/>
  <c r="G151" i="3"/>
  <c r="G139" i="3"/>
  <c r="G142" i="3"/>
  <c r="G152" i="3"/>
  <c r="G124" i="3"/>
  <c r="G131" i="3"/>
  <c r="G153" i="3"/>
  <c r="H147" i="3"/>
  <c r="H148" i="3"/>
  <c r="H149" i="3"/>
  <c r="H150" i="3"/>
  <c r="H151" i="3"/>
  <c r="H134" i="3"/>
  <c r="H139" i="3"/>
  <c r="H141" i="3"/>
  <c r="H142" i="3"/>
  <c r="H152" i="3"/>
  <c r="H124" i="3"/>
  <c r="H125" i="3"/>
  <c r="H126" i="3"/>
  <c r="H131" i="3"/>
  <c r="H153" i="3"/>
  <c r="I151" i="3"/>
  <c r="I139" i="3"/>
  <c r="I142" i="3"/>
  <c r="I152" i="3"/>
  <c r="I124" i="3"/>
  <c r="I131" i="3"/>
  <c r="I153" i="3"/>
  <c r="J151" i="3"/>
  <c r="J139" i="3"/>
  <c r="J142" i="3"/>
  <c r="J152" i="3"/>
  <c r="J124" i="3"/>
  <c r="J131" i="3"/>
  <c r="J153" i="3"/>
  <c r="K151" i="3"/>
  <c r="K139" i="3"/>
  <c r="K142" i="3"/>
  <c r="K152" i="3"/>
  <c r="K124" i="3"/>
  <c r="K131" i="3"/>
  <c r="K153" i="3"/>
  <c r="L151" i="3"/>
  <c r="L139" i="3"/>
  <c r="L142" i="3"/>
  <c r="L152" i="3"/>
  <c r="L124" i="3"/>
  <c r="L131" i="3"/>
  <c r="L153" i="3"/>
  <c r="M146" i="3"/>
  <c r="M147" i="3"/>
  <c r="M148" i="3"/>
  <c r="M149" i="3"/>
  <c r="M150" i="3"/>
  <c r="M151" i="3"/>
  <c r="M134" i="3"/>
  <c r="M139" i="3"/>
  <c r="M142" i="3"/>
  <c r="M152" i="3"/>
  <c r="M123" i="3"/>
  <c r="M124" i="3"/>
  <c r="M125" i="3"/>
  <c r="M126" i="3"/>
  <c r="M127" i="3"/>
  <c r="M130" i="3"/>
  <c r="M131" i="3"/>
  <c r="M153" i="3"/>
  <c r="D151" i="3"/>
  <c r="D139" i="3"/>
  <c r="D142" i="3"/>
  <c r="D152" i="3"/>
  <c r="D124" i="3"/>
  <c r="D131" i="3"/>
  <c r="D153" i="3"/>
  <c r="T49" i="3"/>
  <c r="U49" i="3"/>
  <c r="V49" i="3"/>
  <c r="S49" i="3"/>
  <c r="R49" i="3"/>
  <c r="M49" i="3"/>
  <c r="H49" i="3"/>
  <c r="W49" i="3"/>
  <c r="J47" i="3"/>
  <c r="J48" i="3"/>
  <c r="K47" i="3"/>
  <c r="K48" i="3"/>
  <c r="F47" i="3"/>
  <c r="F48" i="3"/>
  <c r="I48" i="3"/>
  <c r="I47" i="3"/>
  <c r="D47" i="3"/>
  <c r="D48" i="3"/>
  <c r="E48" i="3"/>
  <c r="E47" i="3"/>
  <c r="H44" i="3"/>
  <c r="H47" i="3"/>
  <c r="H45" i="3"/>
  <c r="H48" i="3"/>
  <c r="G47" i="3"/>
  <c r="G48" i="3"/>
  <c r="O47" i="3"/>
  <c r="N47" i="3"/>
  <c r="N48" i="3"/>
  <c r="O48" i="3"/>
  <c r="M48" i="3"/>
  <c r="M47" i="3"/>
  <c r="P104" i="3"/>
  <c r="P47" i="3"/>
  <c r="P48" i="3"/>
  <c r="R13" i="3"/>
  <c r="R56" i="3"/>
  <c r="T16" i="3"/>
  <c r="U16" i="3"/>
  <c r="V16" i="3"/>
  <c r="S16" i="3"/>
  <c r="W16" i="3"/>
  <c r="R16" i="3"/>
  <c r="R11" i="3"/>
  <c r="W56" i="3"/>
  <c r="W53" i="3"/>
  <c r="R53" i="3"/>
  <c r="W54" i="3"/>
  <c r="R54" i="3"/>
  <c r="W11" i="3"/>
  <c r="R21" i="3"/>
  <c r="V102" i="3"/>
  <c r="V103" i="3"/>
  <c r="W103" i="3"/>
  <c r="T43" i="3"/>
  <c r="U43" i="3"/>
  <c r="V43" i="3"/>
  <c r="S43" i="3"/>
  <c r="W43" i="3"/>
  <c r="W26" i="3"/>
  <c r="W15" i="3"/>
  <c r="W70" i="3"/>
  <c r="W27" i="3"/>
  <c r="W71" i="3"/>
  <c r="W28" i="3"/>
  <c r="W72" i="3"/>
  <c r="W29" i="3"/>
  <c r="W73" i="3"/>
  <c r="W25" i="3"/>
  <c r="W69" i="3"/>
  <c r="R26" i="3"/>
  <c r="R70" i="3"/>
  <c r="R27" i="3"/>
  <c r="R71" i="3"/>
  <c r="R28" i="3"/>
  <c r="R72" i="3"/>
  <c r="R29" i="3"/>
  <c r="R73" i="3"/>
  <c r="R86" i="3"/>
  <c r="S48" i="3"/>
  <c r="W21" i="3"/>
  <c r="T23" i="3"/>
  <c r="U23" i="3"/>
  <c r="V23" i="3"/>
  <c r="S23" i="3"/>
  <c r="W23" i="3"/>
  <c r="Q23" i="3"/>
  <c r="R23" i="3"/>
  <c r="U41" i="3"/>
  <c r="W85" i="3"/>
  <c r="T24" i="3"/>
  <c r="T78" i="3"/>
  <c r="S24" i="3"/>
  <c r="S78" i="3"/>
  <c r="Q88" i="3"/>
  <c r="S88" i="3"/>
  <c r="U88" i="3"/>
  <c r="T88" i="3"/>
  <c r="V88" i="3"/>
  <c r="W88" i="3"/>
  <c r="R88" i="3"/>
  <c r="W86" i="3"/>
  <c r="W89" i="3"/>
  <c r="W90" i="3"/>
  <c r="R90" i="3"/>
  <c r="U79" i="3"/>
  <c r="S79" i="3"/>
  <c r="U47" i="3"/>
  <c r="U48" i="3"/>
  <c r="S47" i="3"/>
  <c r="S34" i="3"/>
  <c r="U34" i="3"/>
  <c r="T48" i="3"/>
  <c r="R31" i="3"/>
  <c r="P41" i="3"/>
  <c r="T41" i="3"/>
  <c r="V41" i="3"/>
  <c r="W31" i="3"/>
  <c r="W22" i="3"/>
  <c r="W32" i="3"/>
  <c r="W36" i="3"/>
  <c r="W37" i="3"/>
  <c r="W38" i="3"/>
  <c r="W39" i="3"/>
  <c r="W41" i="3"/>
  <c r="S41" i="3"/>
  <c r="W46" i="3"/>
  <c r="W45" i="3"/>
  <c r="W44" i="3"/>
  <c r="R85" i="3"/>
  <c r="V79" i="3"/>
  <c r="T79" i="3"/>
  <c r="T47" i="3"/>
  <c r="V48" i="3"/>
  <c r="V47" i="3"/>
  <c r="R36" i="3"/>
  <c r="R75" i="3"/>
  <c r="W76" i="3"/>
  <c r="W48" i="3"/>
  <c r="W47" i="3"/>
  <c r="P34" i="3"/>
  <c r="T34" i="3"/>
  <c r="V34" i="3"/>
  <c r="W34" i="3"/>
  <c r="R103" i="3"/>
  <c r="Q50" i="3"/>
  <c r="R50" i="3"/>
  <c r="T50" i="3"/>
  <c r="U50" i="3"/>
  <c r="V50" i="3"/>
  <c r="Q43" i="3"/>
  <c r="R43" i="3"/>
  <c r="Q48" i="3"/>
  <c r="Q41" i="3"/>
  <c r="Q24" i="3"/>
  <c r="Q78" i="3"/>
  <c r="Q79" i="3"/>
  <c r="W77" i="3"/>
  <c r="W75" i="3"/>
  <c r="Q104" i="3"/>
  <c r="Q47" i="3"/>
  <c r="Q34" i="3"/>
  <c r="U24" i="3"/>
  <c r="U78" i="3"/>
  <c r="V24" i="3"/>
  <c r="V78" i="3"/>
  <c r="W24" i="3"/>
  <c r="W78" i="3"/>
  <c r="U104" i="3"/>
  <c r="S104" i="3"/>
  <c r="R22" i="3"/>
  <c r="R32" i="3"/>
  <c r="R37" i="3"/>
  <c r="R38" i="3"/>
  <c r="R39" i="3"/>
  <c r="R41" i="3"/>
  <c r="R46" i="3"/>
  <c r="R45" i="3"/>
  <c r="R44" i="3"/>
  <c r="R77" i="3"/>
  <c r="R79" i="3"/>
  <c r="W79" i="3"/>
  <c r="R76" i="3"/>
  <c r="R48" i="3"/>
  <c r="R47" i="3"/>
  <c r="R34" i="3"/>
  <c r="R24" i="3"/>
  <c r="R78" i="3"/>
  <c r="W104" i="3"/>
  <c r="R92" i="3"/>
  <c r="R102" i="3"/>
  <c r="R104" i="3"/>
  <c r="C211" i="3"/>
  <c r="C6" i="3"/>
  <c r="C218" i="3"/>
  <c r="C219" i="3"/>
  <c r="C220" i="3"/>
  <c r="C7" i="3"/>
  <c r="T104" i="3"/>
  <c r="P90" i="3"/>
  <c r="V104" i="3"/>
</calcChain>
</file>

<file path=xl/comments1.xml><?xml version="1.0" encoding="utf-8"?>
<comments xmlns="http://schemas.openxmlformats.org/spreadsheetml/2006/main">
  <authors>
    <author>DMSB</author>
  </authors>
  <commentList>
    <comment ref="R15" authorId="0" shapeId="0">
      <text>
        <r>
          <rPr>
            <b/>
            <sz val="9"/>
            <color indexed="81"/>
            <rFont val="Tahoma"/>
            <family val="2"/>
          </rPr>
          <t>DMSB:</t>
        </r>
        <r>
          <rPr>
            <sz val="9"/>
            <color indexed="81"/>
            <rFont val="Tahoma"/>
            <family val="2"/>
          </rPr>
          <t xml:space="preserve">
FY16 Management guidance of $1.69bn-$1.70bn from 3Q16</t>
        </r>
      </text>
    </comment>
    <comment ref="Q23" authorId="0" shapeId="0">
      <text>
        <r>
          <rPr>
            <b/>
            <sz val="9"/>
            <color indexed="81"/>
            <rFont val="Tahoma"/>
            <family val="2"/>
          </rPr>
          <t>DMSB:</t>
        </r>
        <r>
          <rPr>
            <sz val="9"/>
            <color indexed="81"/>
            <rFont val="Tahoma"/>
            <family val="2"/>
          </rPr>
          <t xml:space="preserve">
4Q16 Adjustred revenue of $182M-185M based on 3Q16</t>
        </r>
      </text>
    </comment>
    <comment ref="R23" authorId="0" shapeId="0">
      <text>
        <r>
          <rPr>
            <b/>
            <sz val="9"/>
            <color indexed="81"/>
            <rFont val="Tahoma"/>
            <family val="2"/>
          </rPr>
          <t xml:space="preserve">DMSB:
</t>
        </r>
        <r>
          <rPr>
            <sz val="9"/>
            <color indexed="81"/>
            <rFont val="Tahoma"/>
            <family val="2"/>
          </rPr>
          <t>FY16 management guidance of $677M-$680M from 3Q16</t>
        </r>
      </text>
    </comment>
    <comment ref="Q87" authorId="0" shapeId="0">
      <text>
        <r>
          <rPr>
            <b/>
            <sz val="9"/>
            <color indexed="81"/>
            <rFont val="Tahoma"/>
            <family val="2"/>
          </rPr>
          <t>DMSB:</t>
        </r>
        <r>
          <rPr>
            <sz val="9"/>
            <color indexed="81"/>
            <rFont val="Tahoma"/>
            <family val="2"/>
          </rPr>
          <t xml:space="preserve">
Management guidance that Starbucks and Square terminates contract from Q4</t>
        </r>
      </text>
    </comment>
    <comment ref="R89" authorId="0" shapeId="0">
      <text>
        <r>
          <rPr>
            <b/>
            <sz val="9"/>
            <color indexed="81"/>
            <rFont val="Tahoma"/>
            <family val="2"/>
          </rPr>
          <t xml:space="preserve">DMSB:
</t>
        </r>
        <r>
          <rPr>
            <sz val="9"/>
            <color indexed="81"/>
            <rFont val="Tahoma"/>
            <family val="2"/>
          </rPr>
          <t>FY16 management guidance of $677M-$680M from 3Q16</t>
        </r>
      </text>
    </comment>
    <comment ref="S90" authorId="0" shapeId="0">
      <text>
        <r>
          <rPr>
            <b/>
            <sz val="9"/>
            <color indexed="81"/>
            <rFont val="Tahoma"/>
            <family val="2"/>
          </rPr>
          <t>DMSB:</t>
        </r>
        <r>
          <rPr>
            <sz val="9"/>
            <color indexed="81"/>
            <rFont val="Tahoma"/>
            <family val="2"/>
          </rPr>
          <t xml:space="preserve">
Management Guidance sees mid-single digit margin expansion in 2017</t>
        </r>
      </text>
    </comment>
    <comment ref="R102" authorId="0" shapeId="0">
      <text>
        <r>
          <rPr>
            <b/>
            <sz val="9"/>
            <color indexed="81"/>
            <rFont val="Tahoma"/>
            <family val="2"/>
          </rPr>
          <t>DMSB:</t>
        </r>
        <r>
          <rPr>
            <sz val="9"/>
            <color indexed="81"/>
            <rFont val="Tahoma"/>
            <family val="2"/>
          </rPr>
          <t xml:space="preserve">
FY16 management guidance of $31M-$33M from 3Q16</t>
        </r>
      </text>
    </comment>
    <comment ref="J117" authorId="0" shapeId="0">
      <text>
        <r>
          <rPr>
            <b/>
            <sz val="9"/>
            <color indexed="81"/>
            <rFont val="Tahoma"/>
            <family val="2"/>
          </rPr>
          <t>DMSB:</t>
        </r>
        <r>
          <rPr>
            <sz val="9"/>
            <color indexed="81"/>
            <rFont val="Tahoma"/>
            <family val="2"/>
          </rPr>
          <t xml:space="preserve">
From S-1 Form. As of June 30, 2015.</t>
        </r>
      </text>
    </comment>
    <comment ref="K117" authorId="0" shapeId="0">
      <text>
        <r>
          <rPr>
            <b/>
            <sz val="9"/>
            <color indexed="81"/>
            <rFont val="Tahoma"/>
            <family val="2"/>
          </rPr>
          <t>DMSB:</t>
        </r>
        <r>
          <rPr>
            <sz val="9"/>
            <color indexed="81"/>
            <rFont val="Tahoma"/>
            <family val="2"/>
          </rPr>
          <t xml:space="preserve">
From S-1 Form. As of Sept. 30, 2015</t>
        </r>
      </text>
    </comment>
    <comment ref="K172" authorId="0" shapeId="0">
      <text>
        <r>
          <rPr>
            <b/>
            <sz val="9"/>
            <color indexed="81"/>
            <rFont val="Tahoma"/>
            <family val="2"/>
          </rPr>
          <t>DMSB:</t>
        </r>
        <r>
          <rPr>
            <sz val="9"/>
            <color indexed="81"/>
            <rFont val="Tahoma"/>
            <family val="2"/>
          </rPr>
          <t xml:space="preserve">
From S-1 Form. Nine month ended Sept 30th 2015 </t>
        </r>
      </text>
    </comment>
  </commentList>
</comments>
</file>

<file path=xl/sharedStrings.xml><?xml version="1.0" encoding="utf-8"?>
<sst xmlns="http://schemas.openxmlformats.org/spreadsheetml/2006/main" count="340" uniqueCount="231">
  <si>
    <t>Multiple Valuation</t>
  </si>
  <si>
    <t>Sept-14</t>
  </si>
  <si>
    <t>June-14</t>
  </si>
  <si>
    <t>Mar-14</t>
  </si>
  <si>
    <t>Dec-14</t>
  </si>
  <si>
    <t>Mar-15</t>
  </si>
  <si>
    <t>June-15</t>
  </si>
  <si>
    <t>Sept-15</t>
  </si>
  <si>
    <t>Dec-16</t>
  </si>
  <si>
    <t>Dec-15</t>
  </si>
  <si>
    <t>Mar-16</t>
  </si>
  <si>
    <t>June-16</t>
  </si>
  <si>
    <t>Sept-16</t>
  </si>
  <si>
    <t>Mar-17</t>
  </si>
  <si>
    <t>June-17</t>
  </si>
  <si>
    <t>Sept-17</t>
  </si>
  <si>
    <t>Dec-17</t>
  </si>
  <si>
    <t xml:space="preserve">Segment Data &amp; Income Statement Ratios </t>
  </si>
  <si>
    <t>Basic EPS (GAAP)</t>
  </si>
  <si>
    <t>Diluted EPS (GAAP)</t>
  </si>
  <si>
    <t>Basic shares outstanding (GAAP)</t>
  </si>
  <si>
    <t>Diluted shares outstanding (GAAP)</t>
  </si>
  <si>
    <t>Net income (Non-GAAP)</t>
  </si>
  <si>
    <t>FY 2014</t>
  </si>
  <si>
    <t>FY 2016E</t>
  </si>
  <si>
    <t>FY 2017E</t>
  </si>
  <si>
    <t xml:space="preserve">Plus net cash/(debt) per share </t>
  </si>
  <si>
    <t>Implied P/E 12-month target value</t>
  </si>
  <si>
    <t>Dividend per share</t>
  </si>
  <si>
    <t>1Q14</t>
  </si>
  <si>
    <t>2Q14</t>
  </si>
  <si>
    <t>3Q14</t>
  </si>
  <si>
    <t>4Q14</t>
  </si>
  <si>
    <t>1Q15</t>
  </si>
  <si>
    <t>2Q15</t>
  </si>
  <si>
    <t>4Q16E</t>
  </si>
  <si>
    <t>1Q17E</t>
  </si>
  <si>
    <t>2Q17E</t>
  </si>
  <si>
    <t>3Q17E</t>
  </si>
  <si>
    <t>4Q17E</t>
  </si>
  <si>
    <t>3Q15</t>
  </si>
  <si>
    <t>General and administrative</t>
  </si>
  <si>
    <t>Income before income taxes (GAAP)</t>
  </si>
  <si>
    <t>Gross margin (GAAP)</t>
  </si>
  <si>
    <t>Effective income tax rate</t>
  </si>
  <si>
    <t>Operating Income (GAAP)</t>
  </si>
  <si>
    <t>Operating Income (Non-GAAP)</t>
  </si>
  <si>
    <t>Operating Income Margin (GAAP)</t>
  </si>
  <si>
    <t>Total Operating Expenses (ex cost of revenue)</t>
  </si>
  <si>
    <t>Interest expense</t>
  </si>
  <si>
    <t>Other income (expense), net</t>
  </si>
  <si>
    <t>Net income (GAAP)</t>
  </si>
  <si>
    <t>Average interest expense</t>
  </si>
  <si>
    <t>Sales and marketing</t>
  </si>
  <si>
    <t>Provision/(Benefit) for income taxes</t>
  </si>
  <si>
    <t>Ratio Analysis</t>
  </si>
  <si>
    <t>Gross margin (Non-GAAP)</t>
  </si>
  <si>
    <t>Sales and marketing as a % of revenue</t>
  </si>
  <si>
    <t>General and administrative as a % of revenue</t>
  </si>
  <si>
    <t>Other income/(expense) as a % of revenue</t>
  </si>
  <si>
    <t>Gross Profit (GAAP)</t>
  </si>
  <si>
    <t>Opex adjustments (Non-GAAP)</t>
  </si>
  <si>
    <t>Gross Profit (Non-GAAP)</t>
  </si>
  <si>
    <t>Non-GAAP Adjustment Analysis</t>
  </si>
  <si>
    <t>Stock-based compensation (S&amp;M)</t>
  </si>
  <si>
    <t>Stock-based compensation (G&amp;A)</t>
  </si>
  <si>
    <t>Adjusted EBITDA</t>
  </si>
  <si>
    <t xml:space="preserve">   Total Stock-based compensation ($M)</t>
  </si>
  <si>
    <t xml:space="preserve">   Total Stock-based compensation as a % of revenue</t>
  </si>
  <si>
    <t>Diluted shares outstanding (Non-GAAP)</t>
  </si>
  <si>
    <t>Net income adjustments (Non-GAAP)</t>
  </si>
  <si>
    <t>Net income</t>
  </si>
  <si>
    <t>Plus: Stock-based comp</t>
  </si>
  <si>
    <t>Plus: Depreciation and amortization</t>
  </si>
  <si>
    <t>Plus: Provisions for income tax</t>
  </si>
  <si>
    <t>4Q15</t>
  </si>
  <si>
    <t>FY 2015</t>
  </si>
  <si>
    <t>Implied target price band</t>
  </si>
  <si>
    <t>Mean monthly return</t>
  </si>
  <si>
    <t xml:space="preserve">Standard deviation </t>
  </si>
  <si>
    <t>Implied upper bound</t>
  </si>
  <si>
    <t>Implied Lower bound</t>
  </si>
  <si>
    <t>Risk Estimation Summary (b)</t>
  </si>
  <si>
    <t>Implied P/E target value</t>
  </si>
  <si>
    <t>Adjusted EBITDA Margin (%)</t>
  </si>
  <si>
    <t>By obtaining this model you are deemed to have read and agreed to our Terms of Use. Visit our website for details: https://www.gutenbergresearch.com/terms-of-use.html</t>
  </si>
  <si>
    <t>GR</t>
  </si>
  <si>
    <t>Segment Breakdown</t>
  </si>
  <si>
    <t>BALANCE SHEET</t>
  </si>
  <si>
    <t>Assets</t>
  </si>
  <si>
    <t>Cash and equivalents</t>
  </si>
  <si>
    <t>Total Current Assets</t>
  </si>
  <si>
    <t xml:space="preserve">Property, plant and equipment, net </t>
  </si>
  <si>
    <t>Total Assets</t>
  </si>
  <si>
    <t>Liabilities</t>
  </si>
  <si>
    <t>Accounts payable</t>
  </si>
  <si>
    <t>Total Current liabilities</t>
  </si>
  <si>
    <t>Other long-term liabilities</t>
  </si>
  <si>
    <t>Total liabilities</t>
  </si>
  <si>
    <t>Equity</t>
  </si>
  <si>
    <t>Total shareholders' equity</t>
  </si>
  <si>
    <t>Total liabilities and equity</t>
  </si>
  <si>
    <t>CASH FLOW STATEMENT</t>
  </si>
  <si>
    <t>Cash flows from operating activities</t>
  </si>
  <si>
    <t>Net income (loss)</t>
  </si>
  <si>
    <t xml:space="preserve">Depreciation and amortization </t>
  </si>
  <si>
    <t>Stock-based comp expense</t>
  </si>
  <si>
    <t>Change in operating assets and liabilities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</si>
  <si>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</si>
  <si>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</si>
  <si>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</si>
  <si>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</si>
  <si>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</si>
  <si>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</si>
  <si>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Effect of exchange rate changes on cash</t>
  </si>
  <si>
    <t>Cash and equivalents at beginning of period</t>
  </si>
  <si>
    <t>Cash and equivalents at end of period</t>
  </si>
  <si>
    <t>Net cash/(debt) per diluted share (Non-GAAP)</t>
  </si>
  <si>
    <t>Short-term investments</t>
  </si>
  <si>
    <t>Goodwill</t>
  </si>
  <si>
    <t>Other assets</t>
  </si>
  <si>
    <t>Commitments and contingencies</t>
  </si>
  <si>
    <t>Preferred stock</t>
  </si>
  <si>
    <t>Additional paid-in capital</t>
  </si>
  <si>
    <t xml:space="preserve">Common stock </t>
  </si>
  <si>
    <t>Accumulated deficit</t>
  </si>
  <si>
    <t xml:space="preserve">Purchase of marketable securities </t>
  </si>
  <si>
    <t>Proceeds from maturities of marketable securities</t>
  </si>
  <si>
    <t>Change in restricted cash</t>
  </si>
  <si>
    <t>Proceeds from sale of marketable securities</t>
  </si>
  <si>
    <t>1Q16</t>
  </si>
  <si>
    <t>2Q16</t>
  </si>
  <si>
    <t>Starbucks transaction revenue</t>
  </si>
  <si>
    <t>Transaction revenue</t>
  </si>
  <si>
    <t>Software and data product revenue</t>
  </si>
  <si>
    <t>Hardware revenue</t>
  </si>
  <si>
    <t>Total net revenue</t>
  </si>
  <si>
    <t>Total cost of revenue</t>
  </si>
  <si>
    <t>Transaction costs</t>
  </si>
  <si>
    <t>Software and data product costs</t>
  </si>
  <si>
    <t>Hardware costs</t>
  </si>
  <si>
    <t>Amortization of acquired technology</t>
  </si>
  <si>
    <t>Product development</t>
  </si>
  <si>
    <t>Transaction and advance losses</t>
  </si>
  <si>
    <t>Amortization of acquired customer assets</t>
  </si>
  <si>
    <t>Impairment of intangible assets</t>
  </si>
  <si>
    <t>Square Income Statement</t>
  </si>
  <si>
    <t>Restricted Cash</t>
  </si>
  <si>
    <t>Settlements receivable</t>
  </si>
  <si>
    <t>Loans held for sale</t>
  </si>
  <si>
    <t>Merchant cash advance receivable</t>
  </si>
  <si>
    <t>Other current assets</t>
  </si>
  <si>
    <t>Acquired intangible assets</t>
  </si>
  <si>
    <t>Long-term investments</t>
  </si>
  <si>
    <t>Customers payable</t>
  </si>
  <si>
    <t>Accrued transaction losses</t>
  </si>
  <si>
    <t>Other Accrued expenses</t>
  </si>
  <si>
    <t>Other current liabilities</t>
  </si>
  <si>
    <t>Accumulated other comprehensive income (loss)</t>
  </si>
  <si>
    <t>Provision for (reduction in) uncollectible merchant cash advances</t>
  </si>
  <si>
    <t>Deferred provision for income taxes</t>
  </si>
  <si>
    <t>Loss on disposal of property and equipment</t>
  </si>
  <si>
    <t>Purchase of loans held for sale</t>
  </si>
  <si>
    <t>Proceeds from sales and principal payments of loans held for sale</t>
  </si>
  <si>
    <t>Charge-offs and recoveries to accrued transaction losses</t>
  </si>
  <si>
    <t>Accrued expenses</t>
  </si>
  <si>
    <t>Other current liabilites</t>
  </si>
  <si>
    <t>Other noncurrent liabilities</t>
  </si>
  <si>
    <t>Purchase of property and equipment</t>
  </si>
  <si>
    <t>Payments of offering costs related to initial public offereing</t>
  </si>
  <si>
    <t>Net decrease in cash and cash equivalents</t>
  </si>
  <si>
    <t>Deemed dividend on Series E preferred stock</t>
  </si>
  <si>
    <t>Net Income attribute to common stockholders (GAAP)</t>
  </si>
  <si>
    <t>Debt</t>
  </si>
  <si>
    <t>Stock-based compensation (Product development)</t>
  </si>
  <si>
    <t>Provision for transaction losses</t>
  </si>
  <si>
    <t>Starbucks transaction costs</t>
  </si>
  <si>
    <t>Less: Starbucks transaction revenue</t>
  </si>
  <si>
    <t>Plus: Starbucks transaction costs</t>
  </si>
  <si>
    <t>Plus: Interest expense</t>
  </si>
  <si>
    <t>Plus: Other Income (expense), net</t>
  </si>
  <si>
    <t>Less: Litigation settlement (benefit) expense</t>
  </si>
  <si>
    <t>Plus: Loss (gain) on sale of property and equipment</t>
  </si>
  <si>
    <t>Starbucks transaction Gowth rate QoQ (%)</t>
  </si>
  <si>
    <t>Software and Data Product</t>
  </si>
  <si>
    <t>Software and Data Product Growth rate QoQ (%)</t>
  </si>
  <si>
    <t>Hardware</t>
  </si>
  <si>
    <t>Hardware QoQ (%)</t>
  </si>
  <si>
    <t>Product development as a % of revenue</t>
  </si>
  <si>
    <t>Transaction and advance losses as a % of revenue</t>
  </si>
  <si>
    <t>Amortization of acquired customer assets as a % of revenue</t>
  </si>
  <si>
    <t xml:space="preserve">   Adjusted Revenue ($M)</t>
  </si>
  <si>
    <t>Less: transaction costs</t>
  </si>
  <si>
    <t>Adjusted revenue (Non-GAAP)</t>
  </si>
  <si>
    <t xml:space="preserve">   Adjusted Revenue QoQ Growth rate (%)</t>
  </si>
  <si>
    <t>Total Gross Payment Volume ($M)</t>
  </si>
  <si>
    <t>($ in thousands  unless otherwise noted)</t>
  </si>
  <si>
    <t>($ in thousands, except per share data)</t>
  </si>
  <si>
    <t>Excess tax benefit from share-based payment activity</t>
  </si>
  <si>
    <t>Payment for acquisitiion of intangible assets</t>
  </si>
  <si>
    <t xml:space="preserve">Proceeds from issuances of common stock from ther exercise of options and employee stock </t>
  </si>
  <si>
    <t>Business acquisitions, net of cash acquired</t>
  </si>
  <si>
    <t>Starbucks share-based instruments</t>
  </si>
  <si>
    <t>Change in basic shares  (excluding repurchases)</t>
  </si>
  <si>
    <t>Change in diluted shares  (excluding repurchases)</t>
  </si>
  <si>
    <t>Change in non-GAAP diluted shares  (ex repurchases)</t>
  </si>
  <si>
    <t>Share repurchase assumptions: average price</t>
  </si>
  <si>
    <t>Share repurchase: amount in the period ($M)</t>
  </si>
  <si>
    <t>Shares repurchased (M) [repurchase details are rounded]</t>
  </si>
  <si>
    <t>Analysis of share count changes</t>
  </si>
  <si>
    <t>Transaction revenue per GPV ($T)</t>
  </si>
  <si>
    <t>Gross Margin For Transaction revenue (%)</t>
  </si>
  <si>
    <t>Gross Margin For Starbucks Transaction revenue (%)</t>
  </si>
  <si>
    <t>Gross Margin For Software and Data Product revenue (%)</t>
  </si>
  <si>
    <t>Gross Margin For Hardware revenue (%)</t>
  </si>
  <si>
    <t>Growth rate of GPV (%)</t>
  </si>
  <si>
    <t>Transaction revenue ($M)</t>
  </si>
  <si>
    <t>NTM P/EBITDA 3-month average</t>
  </si>
  <si>
    <t>NTM P/EBITDA 3-month low</t>
  </si>
  <si>
    <t>NTM P/EBITDA 3-month high</t>
  </si>
  <si>
    <t>Implied P/EBITDA 12-mo target value</t>
  </si>
  <si>
    <t>P/EBITDA used for valuation</t>
  </si>
  <si>
    <t>NTM EBITDA per share est</t>
  </si>
  <si>
    <t xml:space="preserve">(a) Multiples are calculated excluding the value of net cash/(debt) and are based on the 3-month average daily share price compared to our forecast of EBITDA per share for the next twelve month period. </t>
  </si>
  <si>
    <t>EBITDA per share</t>
  </si>
  <si>
    <t>Blue cells = Gutenberg estimates</t>
  </si>
  <si>
    <t>3Q16</t>
  </si>
  <si>
    <t>Purple cells = Company guidance (last update 11/01/2016)</t>
  </si>
  <si>
    <t>Orange cells = Consensus estimates (updated 11/06/2016)</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</si>
  <si>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our disclosures for important details.  Our Multiple valuation metrics are kept constant at certain points during each quarter to isolate the impact from changes in earnings estimates.   </t>
    </r>
    <r>
      <rPr>
        <b/>
        <sz val="11"/>
        <color theme="3"/>
        <rFont val="Calibri"/>
        <family val="2"/>
        <scheme val="minor"/>
      </rPr>
      <t>The multiple  in this section was last updated on 11/08/2016</t>
    </r>
  </si>
  <si>
    <r>
      <t xml:space="preserve">(b)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on our website GutenbergResearch.com. </t>
    </r>
    <r>
      <rPr>
        <b/>
        <sz val="11"/>
        <color theme="4" tint="-0.499984740745262"/>
        <rFont val="Calibri"/>
        <family val="2"/>
        <scheme val="minor"/>
      </rPr>
      <t xml:space="preserve">The mean &amp; standard deviation in this section were last updated on 11/08/2016.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</si>
</sst>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
    <numFmt numFmtId="169" formatCode="#,##0.0\ ;\(#,##0.0\)"/>
    <numFmt numFmtId="170" formatCode="#,##0\ ;\(#,##0.0\)"/>
    <numFmt numFmtId="171" formatCode="&quot;$&quot;0.00_)"/>
    <numFmt numFmtId="172" formatCode="#,##0&quot;%&quot;"/>
    <numFmt numFmtId="173" formatCode="#,##0___);\(#,##0.00\)"/>
    <numFmt numFmtId="174" formatCode="0%;\(0%\)"/>
    <numFmt numFmtId="175" formatCode="_(* #,##0,,_);_(* \(#,##0,,\);_(* &quot;-&quot;_)"/>
    <numFmt numFmtId="176" formatCode="_(* #,##0_);[Red]_(* \(#,##0\);_(* &quot;&quot;&quot;&quot;&quot;&quot;&quot;&quot;\ \-\ &quot;&quot;&quot;&quot;&quot;&quot;&quot;&quot;_);_(@_)"/>
    <numFmt numFmtId="177" formatCode="_(* #,##0,_);[Red]_(* \(#,##0,\);_(* &quot;&quot;&quot;&quot;&quot;&quot;&quot;&quot;\ \-\ &quot;&quot;&quot;&quot;&quot;&quot;&quot;&quot;_);_(@_)"/>
    <numFmt numFmtId="178" formatCode="0%;\(0%\);;"/>
    <numFmt numFmtId="179" formatCode="0%;\(0%\);&quot;-&quot;"/>
    <numFmt numFmtId="180" formatCode="#,##0_);[Red]\(#,##0\);&quot;-&quot;"/>
    <numFmt numFmtId="181" formatCode="*-"/>
    <numFmt numFmtId="182" formatCode="#,##0;\-#,##0;&quot;-&quot;"/>
    <numFmt numFmtId="183" formatCode="_._.&quot;$&quot;* \(#,##0\)_%;_._.&quot;$&quot;* #,##0_)_%;_._.&quot;$&quot;* 0_)_%;_._.@_)_%"/>
    <numFmt numFmtId="184" formatCode="_._.* \(#,##0\)_%;_._.* #,##0_)_%;_._.* 0_)_%;_._.@_)_%"/>
    <numFmt numFmtId="185" formatCode="&quot;$&quot;#,##0;\-&quot;$&quot;#,##0"/>
    <numFmt numFmtId="186" formatCode="_-&quot;$&quot;* #,##0_-;\-&quot;$&quot;* #,##0_-;_-&quot;$&quot;* &quot;-&quot;_-;_-@_-"/>
    <numFmt numFmtId="187" formatCode="_-&quot;$&quot;* #,##0.00_-;\-&quot;$&quot;* #,##0.00_-;_-&quot;$&quot;* &quot;-&quot;??_-;_-@_-"/>
    <numFmt numFmtId="188" formatCode="#,##0;\(#,##0\)"/>
    <numFmt numFmtId="189" formatCode="&quot;SFr.&quot;\ #,##0.00;&quot;SFr.&quot;\ \-#,##0.00"/>
    <numFmt numFmtId="190" formatCode="#,##0.00;\-#,##0.00;&quot;-&quot;"/>
    <numFmt numFmtId="191" formatCode="* #,##0.00_);\(#,##0.00\)"/>
    <numFmt numFmtId="192" formatCode="_([$€-2]* #,##0.00_);_([$€-2]* \(#,##0.00\);_([$€-2]* &quot;-&quot;??_)"/>
    <numFmt numFmtId="193" formatCode="0.0_)\%;\(0.0\)\%;0.0_)\%;@_)_%"/>
    <numFmt numFmtId="194" formatCode="#,##0.0_)_%;\(#,##0.0\)_%;0.0_)_%;@_)_%"/>
    <numFmt numFmtId="195" formatCode="#,##0.0_);\(#,##0.0\);#,##0.0_);@_)"/>
    <numFmt numFmtId="196" formatCode="&quot;$&quot;_(#,##0.00_);&quot;$&quot;\(#,##0.00\);&quot;$&quot;_(0.00_);@_)"/>
    <numFmt numFmtId="197" formatCode="#,##0.00_);\(#,##0.00\);0.00_);@_)"/>
    <numFmt numFmtId="198" formatCode="\€_(#,##0.00_);\€\(#,##0.00\);\€_(0.00_);@_)"/>
    <numFmt numFmtId="199" formatCode="#,##0_)\x;\(#,##0\)\x;0_)\x;@_)_x"/>
    <numFmt numFmtId="200" formatCode="#,##0_)_x;\(#,##0\)_x;0_)_x;@_)_x"/>
    <numFmt numFmtId="201" formatCode="#,##0.0000;\-#,##0.0000"/>
    <numFmt numFmtId="202" formatCode="#,##0.000000;\-#,##0.000000"/>
    <numFmt numFmtId="203" formatCode="#,##0.0;\-#,##0.0"/>
    <numFmt numFmtId="204" formatCode="#,##0.000;\-#,##0.000"/>
    <numFmt numFmtId="205" formatCode="#,##0.00000;\-#,##0.00000"/>
    <numFmt numFmtId="206" formatCode="#,##0.0000000;\-#,##0.0000000"/>
    <numFmt numFmtId="207" formatCode="#,##0.00000000;\-#,##0.00000000"/>
    <numFmt numFmtId="208" formatCode="#,##0.000000000;\-#,##0.000000000"/>
    <numFmt numFmtId="209" formatCode="#,##0.0000000000;\-#,##0.0000000000"/>
    <numFmt numFmtId="210" formatCode="_-* #,##0\ _D_M_-;\-* #,##0\ _D_M_-;_-* &quot;-&quot;\ _D_M_-;_-@_-"/>
    <numFmt numFmtId="211" formatCode="_-* #,##0.00\ _D_M_-;\-* #,##0.00\ _D_M_-;_-* &quot;-&quot;??\ _D_M_-;_-@_-"/>
    <numFmt numFmtId="212" formatCode="_-* #,##0\ &quot;DM&quot;_-;\-* #,##0\ &quot;DM&quot;_-;_-* &quot;-&quot;\ &quot;DM&quot;_-;_-@_-"/>
    <numFmt numFmtId="213" formatCode="_-* #,##0.00\ &quot;DM&quot;_-;\-* #,##0.00\ &quot;DM&quot;_-;_-* &quot;-&quot;??\ &quot;DM&quot;_-;_-@_-"/>
    <numFmt numFmtId="214" formatCode="0.0"/>
    <numFmt numFmtId="215" formatCode="0.000000"/>
    <numFmt numFmtId="216" formatCode="&quot;£&quot;#,##0;[Red]\-&quot;£&quot;#,##0"/>
    <numFmt numFmtId="217" formatCode="0.00_);[Red]\(0.00\)"/>
    <numFmt numFmtId="218" formatCode="&quot;£&quot;#,##0.00;[Red]\-&quot;£&quot;#,##0.00"/>
    <numFmt numFmtId="219" formatCode="_(* #,##0.000_);_(* \(#,##0.000\);_(* &quot;-&quot;_);_(@_)"/>
    <numFmt numFmtId="220" formatCode="_-&quot;£&quot;* #,##0_-;\-&quot;£&quot;* #,##0_-;_-&quot;£&quot;* &quot;-&quot;_-;_-@_-"/>
    <numFmt numFmtId="221" formatCode="_(&quot;$&quot;* #,##0,_);_(&quot;$&quot;* \(#,##0,\);_(&quot;$&quot;* &quot;-&quot;_);_(@_)"/>
    <numFmt numFmtId="222" formatCode="&quot;SFr.&quot;#,##0;[Red]&quot;SFr.&quot;\-#,##0"/>
    <numFmt numFmtId="223" formatCode="_-&quot;£&quot;* #,##0.00_-;\-&quot;£&quot;* #,##0.00_-;_-&quot;£&quot;* &quot;-&quot;??_-;_-@_-"/>
    <numFmt numFmtId="224" formatCode="#,##0;[Red]\(#,##0\)"/>
    <numFmt numFmtId="225" formatCode="0\x"/>
    <numFmt numFmtId="226" formatCode="&quot;$&quot;#,##0.0000_);[Red]\(&quot;$&quot;#,##0.0000\)"/>
    <numFmt numFmtId="227" formatCode="&quot;$&quot;#,##0.00"/>
  </numFmts>
  <fonts count="74"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b/>
      <sz val="11"/>
      <color theme="3"/>
      <name val="Calibri"/>
      <family val="2"/>
      <scheme val="minor"/>
    </font>
    <font>
      <sz val="10"/>
      <name val="Tms Rmn"/>
    </font>
    <font>
      <sz val="10"/>
      <name val="Helv"/>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ont>
    <font>
      <b/>
      <sz val="12"/>
      <name val="Tms Rmn"/>
    </font>
    <font>
      <b/>
      <i/>
      <sz val="12"/>
      <name val="Tms Rmn"/>
    </font>
    <font>
      <b/>
      <sz val="10"/>
      <name val="MS Sans Serif"/>
      <family val="2"/>
    </font>
    <font>
      <b/>
      <sz val="11"/>
      <name val="Arial"/>
      <family val="2"/>
    </font>
    <font>
      <b/>
      <sz val="10"/>
      <name val="Arial"/>
      <family val="2"/>
    </font>
    <font>
      <sz val="10"/>
      <name val="MS Sans Serif"/>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ont>
    <font>
      <sz val="12"/>
      <name val="Times New Roman"/>
      <family val="1"/>
    </font>
    <font>
      <sz val="7"/>
      <name val="Small Fonts"/>
      <family val="2"/>
    </font>
    <font>
      <b/>
      <u/>
      <sz val="26"/>
      <color indexed="9"/>
      <name val="Arial"/>
      <family val="2"/>
    </font>
    <font>
      <sz val="12"/>
      <name val="Helv"/>
    </font>
    <font>
      <sz val="10"/>
      <color theme="1"/>
      <name val="Arial"/>
      <family val="2"/>
    </font>
    <font>
      <sz val="10"/>
      <name val="Helv"/>
      <family val="2"/>
    </font>
    <font>
      <u/>
      <sz val="11"/>
      <color theme="10"/>
      <name val="Calibri"/>
      <family val="2"/>
    </font>
    <font>
      <u/>
      <sz val="10"/>
      <color theme="10"/>
      <name val="Trebuchet MS"/>
      <family val="2"/>
    </font>
    <font>
      <sz val="12"/>
      <name val="Helv"/>
      <family val="2"/>
    </font>
    <font>
      <sz val="10"/>
      <name val="Trebuchet MS"/>
      <family val="2"/>
    </font>
    <font>
      <sz val="10"/>
      <name val="Tms Rmn"/>
      <family val="1"/>
    </font>
    <font>
      <sz val="11"/>
      <color indexed="8"/>
      <name val="Calibri"/>
      <family val="2"/>
    </font>
    <font>
      <u/>
      <sz val="10"/>
      <color indexed="12"/>
      <name val="Arial"/>
      <family val="2"/>
    </font>
    <font>
      <b/>
      <sz val="10"/>
      <color rgb="FF404040"/>
      <name val="Segoe UI"/>
      <family val="2"/>
    </font>
    <font>
      <sz val="10"/>
      <color rgb="FF404040"/>
      <name val="Segoe UI"/>
      <family val="2"/>
    </font>
    <font>
      <b/>
      <sz val="11"/>
      <color theme="1" tint="0.14999847407452621"/>
      <name val="Calibri"/>
      <family val="2"/>
      <scheme val="minor"/>
    </font>
    <font>
      <b/>
      <u val="singleAccounting"/>
      <sz val="11"/>
      <color theme="1" tint="0.14999847407452621"/>
      <name val="Calibri"/>
      <family val="2"/>
      <scheme val="minor"/>
    </font>
    <font>
      <u/>
      <sz val="11"/>
      <color theme="1"/>
      <name val="Calibri"/>
      <family val="2"/>
      <scheme val="minor"/>
    </font>
    <font>
      <b/>
      <sz val="11"/>
      <color theme="4" tint="-0.499984740745262"/>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9"/>
      <color indexed="81"/>
      <name val="Tahoma"/>
      <family val="2"/>
    </font>
    <font>
      <b/>
      <sz val="9"/>
      <color indexed="81"/>
      <name val="Tahoma"/>
      <family val="2"/>
    </font>
  </fonts>
  <fills count="12">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7" tint="0.39997558519241921"/>
        <bgColor indexed="64"/>
      </patternFill>
    </fill>
  </fills>
  <borders count="3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indexed="8"/>
      </top>
      <bottom style="hair">
        <color indexed="8"/>
      </bottom>
      <diagonal/>
    </border>
    <border>
      <left/>
      <right/>
      <top/>
      <bottom style="medium">
        <color indexed="18"/>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thin">
        <color auto="1"/>
      </top>
      <bottom style="double">
        <color auto="1"/>
      </bottom>
      <diagonal/>
    </border>
    <border>
      <left/>
      <right/>
      <top/>
      <bottom style="double">
        <color auto="1"/>
      </bottom>
      <diagonal/>
    </border>
    <border>
      <left style="thin">
        <color auto="1"/>
      </left>
      <right style="thin">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dotted">
        <color auto="1"/>
      </top>
      <bottom/>
      <diagonal/>
    </border>
    <border>
      <left style="thin">
        <color auto="1"/>
      </left>
      <right style="thin">
        <color auto="1"/>
      </right>
      <top/>
      <bottom style="hair">
        <color auto="1"/>
      </bottom>
      <diagonal/>
    </border>
    <border>
      <left/>
      <right/>
      <top/>
      <bottom style="hair">
        <color auto="1"/>
      </bottom>
      <diagonal/>
    </border>
  </borders>
  <cellStyleXfs count="505">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37" fontId="21" fillId="0" borderId="0"/>
    <xf numFmtId="193" fontId="9" fillId="0" borderId="0" applyFont="0" applyFill="0" applyBorder="0" applyAlignment="0" applyProtection="0"/>
    <xf numFmtId="194"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6" borderId="0" applyNumberFormat="0" applyFont="0" applyAlignment="0" applyProtection="0"/>
    <xf numFmtId="199" fontId="9" fillId="0" borderId="0" applyFont="0" applyFill="0" applyBorder="0" applyAlignment="0" applyProtection="0"/>
    <xf numFmtId="200" fontId="9" fillId="0" borderId="0" applyFont="0" applyFill="0" applyBorder="0" applyProtection="0">
      <alignment horizontal="right"/>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6" fillId="0" borderId="18" applyNumberFormat="0" applyFill="0" applyAlignment="0" applyProtection="0"/>
    <xf numFmtId="0" fontId="27" fillId="0" borderId="19" applyNumberFormat="0" applyFill="0" applyProtection="0">
      <alignment horizontal="center"/>
    </xf>
    <xf numFmtId="0" fontId="27" fillId="0" borderId="0" applyNumberFormat="0" applyFill="0" applyBorder="0" applyProtection="0">
      <alignment horizontal="left"/>
    </xf>
    <xf numFmtId="0" fontId="28" fillId="0" borderId="0" applyNumberFormat="0" applyFill="0" applyBorder="0" applyProtection="0">
      <alignment horizontal="centerContinuous"/>
    </xf>
    <xf numFmtId="0" fontId="50" fillId="0" borderId="0" applyNumberFormat="0" applyFill="0" applyBorder="0" applyAlignment="0" applyProtection="0"/>
    <xf numFmtId="191" fontId="29" fillId="0" borderId="0">
      <alignment horizontal="center"/>
    </xf>
    <xf numFmtId="37" fontId="30" fillId="0" borderId="0"/>
    <xf numFmtId="37" fontId="31" fillId="0" borderId="0"/>
    <xf numFmtId="185" fontId="32" fillId="0" borderId="2"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32" fillId="0" borderId="2"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32" fillId="0" borderId="2"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32" fillId="0" borderId="2" applyAlignment="0" applyProtection="0"/>
    <xf numFmtId="185" fontId="1" fillId="0" borderId="0" applyAlignment="0" applyProtection="0"/>
    <xf numFmtId="185" fontId="1" fillId="0" borderId="0" applyAlignment="0" applyProtection="0"/>
    <xf numFmtId="185" fontId="1" fillId="0" borderId="0" applyAlignment="0" applyProtection="0"/>
    <xf numFmtId="185" fontId="32" fillId="0" borderId="2" applyAlignment="0" applyProtection="0"/>
    <xf numFmtId="185" fontId="32" fillId="0" borderId="2" applyAlignment="0" applyProtection="0"/>
    <xf numFmtId="185" fontId="32" fillId="0" borderId="2" applyAlignment="0" applyProtection="0"/>
    <xf numFmtId="185" fontId="32" fillId="0" borderId="2" applyAlignment="0" applyProtection="0"/>
    <xf numFmtId="185" fontId="1" fillId="0" borderId="0" applyAlignment="0" applyProtection="0"/>
    <xf numFmtId="182" fontId="23" fillId="0" borderId="0" applyFill="0" applyBorder="0" applyAlignment="0"/>
    <xf numFmtId="175" fontId="9" fillId="0" borderId="0" applyFill="0" applyBorder="0" applyAlignment="0"/>
    <xf numFmtId="176" fontId="9" fillId="0" borderId="0" applyFill="0" applyBorder="0" applyAlignment="0"/>
    <xf numFmtId="177" fontId="9" fillId="0" borderId="0" applyFill="0" applyBorder="0" applyAlignment="0"/>
    <xf numFmtId="178" fontId="9" fillId="0" borderId="0" applyFill="0" applyBorder="0" applyAlignment="0"/>
    <xf numFmtId="182" fontId="23" fillId="0" borderId="0" applyFill="0" applyBorder="0" applyAlignment="0"/>
    <xf numFmtId="179" fontId="9" fillId="0" borderId="0" applyFill="0" applyBorder="0" applyAlignment="0"/>
    <xf numFmtId="175" fontId="9" fillId="0" borderId="0" applyFill="0" applyBorder="0" applyAlignment="0"/>
    <xf numFmtId="0" fontId="33" fillId="0" borderId="0" applyFill="0" applyBorder="0" applyProtection="0">
      <alignment horizontal="center"/>
      <protection locked="0"/>
    </xf>
    <xf numFmtId="0" fontId="22" fillId="0" borderId="0"/>
    <xf numFmtId="170" fontId="22" fillId="0" borderId="7"/>
    <xf numFmtId="214" fontId="1" fillId="0" borderId="0"/>
    <xf numFmtId="214" fontId="1" fillId="0" borderId="0"/>
    <xf numFmtId="182" fontId="9" fillId="0" borderId="0" applyFont="0" applyFill="0" applyBorder="0" applyAlignment="0" applyProtection="0"/>
    <xf numFmtId="4" fontId="22"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 fontId="2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0" fontId="9" fillId="0" borderId="0">
      <alignment horizontal="center"/>
    </xf>
    <xf numFmtId="184" fontId="38" fillId="0" borderId="0" applyFill="0" applyBorder="0" applyProtection="0"/>
    <xf numFmtId="183" fontId="39" fillId="0" borderId="0" applyFont="0" applyFill="0" applyBorder="0" applyAlignment="0" applyProtection="0"/>
    <xf numFmtId="171" fontId="40" fillId="0" borderId="20">
      <protection hidden="1"/>
    </xf>
    <xf numFmtId="175"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6" fillId="0" borderId="0" applyNumberFormat="0" applyFill="0" applyBorder="0" applyAlignment="0" applyProtection="0"/>
    <xf numFmtId="1" fontId="29" fillId="0" borderId="0"/>
    <xf numFmtId="14" fontId="41" fillId="0" borderId="0">
      <alignment horizontal="center"/>
    </xf>
    <xf numFmtId="14" fontId="23" fillId="0" borderId="0" applyFill="0" applyBorder="0" applyAlignment="0"/>
    <xf numFmtId="15" fontId="42" fillId="7" borderId="0" applyNumberFormat="0" applyFont="0" applyFill="0" applyBorder="0" applyAlignment="0">
      <alignment horizontal="center" wrapText="1"/>
    </xf>
    <xf numFmtId="0" fontId="23" fillId="0" borderId="21" applyNumberFormat="0" applyFill="0" applyBorder="0" applyAlignment="0" applyProtection="0"/>
    <xf numFmtId="189" fontId="22" fillId="0" borderId="0" applyFont="0" applyFill="0" applyBorder="0" applyAlignment="0" applyProtection="0"/>
    <xf numFmtId="188" fontId="39" fillId="0" borderId="0" applyFont="0" applyFill="0" applyBorder="0" applyAlignment="0" applyProtection="0"/>
    <xf numFmtId="182" fontId="43" fillId="0" borderId="0" applyFill="0" applyBorder="0" applyAlignment="0"/>
    <xf numFmtId="175" fontId="9" fillId="0" borderId="0" applyFill="0" applyBorder="0" applyAlignment="0"/>
    <xf numFmtId="182" fontId="43" fillId="0" borderId="0" applyFill="0" applyBorder="0" applyAlignment="0"/>
    <xf numFmtId="179" fontId="9" fillId="0" borderId="0" applyFill="0" applyBorder="0" applyAlignment="0"/>
    <xf numFmtId="175" fontId="9" fillId="0" borderId="0" applyFill="0" applyBorder="0" applyAlignment="0"/>
    <xf numFmtId="171" fontId="40" fillId="0" borderId="20">
      <protection hidden="1"/>
    </xf>
    <xf numFmtId="192" fontId="9" fillId="0" borderId="0" applyFont="0" applyFill="0" applyBorder="0" applyAlignment="0" applyProtection="0"/>
    <xf numFmtId="38" fontId="44" fillId="7" borderId="0" applyNumberFormat="0" applyBorder="0" applyAlignment="0" applyProtection="0"/>
    <xf numFmtId="0" fontId="45" fillId="0" borderId="22"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34" fillId="8" borderId="20">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10" fontId="44" fillId="9" borderId="21" applyNumberFormat="0" applyBorder="0" applyAlignment="0" applyProtection="0"/>
    <xf numFmtId="182" fontId="46" fillId="0" borderId="0" applyFill="0" applyBorder="0" applyAlignment="0"/>
    <xf numFmtId="175" fontId="9" fillId="0" borderId="0" applyFill="0" applyBorder="0" applyAlignment="0"/>
    <xf numFmtId="182" fontId="46" fillId="0" borderId="0" applyFill="0" applyBorder="0" applyAlignment="0"/>
    <xf numFmtId="179" fontId="9" fillId="0" borderId="0" applyFill="0" applyBorder="0" applyAlignment="0"/>
    <xf numFmtId="175" fontId="9" fillId="0" borderId="0" applyFill="0" applyBorder="0" applyAlignment="0"/>
    <xf numFmtId="210" fontId="9" fillId="0" borderId="0" applyFont="0" applyFill="0" applyBorder="0" applyAlignment="0" applyProtection="0"/>
    <xf numFmtId="211" fontId="9"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212" fontId="9" fillId="0" borderId="0" applyFont="0" applyFill="0" applyBorder="0" applyAlignment="0" applyProtection="0"/>
    <xf numFmtId="213" fontId="9"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168" fontId="29" fillId="0" borderId="7"/>
    <xf numFmtId="37" fontId="51" fillId="0" borderId="0"/>
    <xf numFmtId="169" fontId="22" fillId="0" borderId="0"/>
    <xf numFmtId="169" fontId="1" fillId="0" borderId="0"/>
    <xf numFmtId="174" fontId="9" fillId="0" borderId="0"/>
    <xf numFmtId="37" fontId="21" fillId="0" borderId="0"/>
    <xf numFmtId="0" fontId="9" fillId="0" borderId="0"/>
    <xf numFmtId="0" fontId="1" fillId="0" borderId="0"/>
    <xf numFmtId="0" fontId="9" fillId="0" borderId="0"/>
    <xf numFmtId="0" fontId="9" fillId="0" borderId="0"/>
    <xf numFmtId="0" fontId="9" fillId="0" borderId="0">
      <alignment wrapText="1"/>
    </xf>
    <xf numFmtId="0" fontId="9" fillId="0" borderId="0"/>
    <xf numFmtId="37" fontId="21" fillId="0" borderId="0"/>
    <xf numFmtId="37" fontId="1" fillId="0" borderId="0"/>
    <xf numFmtId="37" fontId="1" fillId="0" borderId="0"/>
    <xf numFmtId="37" fontId="9" fillId="0" borderId="0"/>
    <xf numFmtId="209" fontId="9" fillId="0" borderId="0"/>
    <xf numFmtId="203" fontId="9" fillId="0" borderId="0"/>
    <xf numFmtId="39" fontId="9" fillId="0" borderId="0"/>
    <xf numFmtId="204" fontId="9" fillId="0" borderId="0"/>
    <xf numFmtId="201" fontId="9" fillId="0" borderId="0"/>
    <xf numFmtId="205" fontId="9" fillId="0" borderId="0"/>
    <xf numFmtId="202" fontId="9" fillId="0" borderId="0"/>
    <xf numFmtId="206" fontId="9" fillId="0" borderId="0"/>
    <xf numFmtId="207" fontId="9" fillId="0" borderId="0"/>
    <xf numFmtId="208" fontId="9" fillId="0" borderId="0"/>
    <xf numFmtId="173" fontId="35" fillId="0" borderId="0"/>
    <xf numFmtId="172" fontId="40" fillId="0" borderId="0">
      <protection hidden="1"/>
    </xf>
    <xf numFmtId="178" fontId="9" fillId="0" borderId="0" applyFont="0" applyFill="0" applyBorder="0" applyAlignment="0" applyProtection="0"/>
    <xf numFmtId="174" fontId="9" fillId="0" borderId="0" applyFont="0" applyFill="0" applyBorder="0" applyAlignment="0" applyProtection="0"/>
    <xf numFmtId="10"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23" applyNumberFormat="0" applyBorder="0"/>
    <xf numFmtId="168" fontId="29" fillId="0" borderId="0"/>
    <xf numFmtId="0" fontId="52" fillId="10" borderId="24" applyNumberFormat="0" applyFont="0" applyFill="0" applyAlignment="0">
      <alignment horizontal="center" vertical="center"/>
    </xf>
    <xf numFmtId="182" fontId="47" fillId="0" borderId="0" applyFill="0" applyBorder="0" applyAlignment="0"/>
    <xf numFmtId="175" fontId="9" fillId="0" borderId="0" applyFill="0" applyBorder="0" applyAlignment="0"/>
    <xf numFmtId="182" fontId="47" fillId="0" borderId="0" applyFill="0" applyBorder="0" applyAlignment="0"/>
    <xf numFmtId="179" fontId="9" fillId="0" borderId="0" applyFill="0" applyBorder="0" applyAlignment="0"/>
    <xf numFmtId="175" fontId="9" fillId="0" borderId="0" applyFill="0" applyBorder="0" applyAlignment="0"/>
    <xf numFmtId="37" fontId="21" fillId="0" borderId="25"/>
    <xf numFmtId="0" fontId="53" fillId="0" borderId="0"/>
    <xf numFmtId="0" fontId="22" fillId="0" borderId="0"/>
    <xf numFmtId="0" fontId="35" fillId="0" borderId="0"/>
    <xf numFmtId="49" fontId="23" fillId="0" borderId="0" applyFill="0" applyBorder="0" applyAlignment="0"/>
    <xf numFmtId="180" fontId="9" fillId="0" borderId="0" applyFill="0" applyBorder="0" applyAlignment="0"/>
    <xf numFmtId="181" fontId="9" fillId="0" borderId="0" applyFill="0" applyBorder="0" applyAlignment="0"/>
    <xf numFmtId="49" fontId="9" fillId="0" borderId="0"/>
    <xf numFmtId="0" fontId="48" fillId="0" borderId="0" applyFill="0" applyBorder="0" applyProtection="0">
      <alignment horizontal="left" vertical="top"/>
    </xf>
    <xf numFmtId="40" fontId="49"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21" fillId="0" borderId="7"/>
    <xf numFmtId="37" fontId="21" fillId="0" borderId="26"/>
    <xf numFmtId="186" fontId="9" fillId="0" borderId="0" applyFont="0" applyFill="0" applyBorder="0" applyAlignment="0" applyProtection="0"/>
    <xf numFmtId="187" fontId="9" fillId="0" borderId="0" applyFont="0" applyFill="0" applyBorder="0" applyAlignment="0" applyProtection="0"/>
    <xf numFmtId="0" fontId="9" fillId="0" borderId="0"/>
    <xf numFmtId="0" fontId="9" fillId="0" borderId="0"/>
    <xf numFmtId="37" fontId="9" fillId="0" borderId="0"/>
    <xf numFmtId="39" fontId="9" fillId="0" borderId="0"/>
    <xf numFmtId="0" fontId="55" fillId="0" borderId="0"/>
    <xf numFmtId="215" fontId="9" fillId="0" borderId="0" applyFill="0" applyBorder="0" applyAlignment="0"/>
    <xf numFmtId="164" fontId="9" fillId="0" borderId="0" applyFill="0" applyBorder="0" applyAlignment="0"/>
    <xf numFmtId="216" fontId="9" fillId="0" borderId="0" applyFill="0" applyBorder="0" applyAlignment="0"/>
    <xf numFmtId="217"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164" fontId="9" fillId="0" borderId="0" applyFill="0" applyBorder="0" applyAlignment="0"/>
    <xf numFmtId="221" fontId="9" fillId="0" borderId="0"/>
    <xf numFmtId="221" fontId="9" fillId="0" borderId="0"/>
    <xf numFmtId="221" fontId="9" fillId="0" borderId="0"/>
    <xf numFmtId="221" fontId="9" fillId="0" borderId="0"/>
    <xf numFmtId="221" fontId="9" fillId="0" borderId="0"/>
    <xf numFmtId="221" fontId="9" fillId="0" borderId="0"/>
    <xf numFmtId="221" fontId="9" fillId="0" borderId="0"/>
    <xf numFmtId="221" fontId="9" fillId="0" borderId="0"/>
    <xf numFmtId="0" fontId="55" fillId="0" borderId="7"/>
    <xf numFmtId="219"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64" fontId="9" fillId="0" borderId="0" applyFont="0" applyFill="0" applyBorder="0" applyAlignment="0" applyProtection="0"/>
    <xf numFmtId="219" fontId="9" fillId="0" borderId="0" applyFill="0" applyBorder="0" applyAlignment="0"/>
    <xf numFmtId="164" fontId="9" fillId="0" borderId="0" applyFill="0" applyBorder="0" applyAlignment="0"/>
    <xf numFmtId="219" fontId="9" fillId="0" borderId="0" applyFill="0" applyBorder="0" applyAlignment="0"/>
    <xf numFmtId="220" fontId="9" fillId="0" borderId="0" applyFill="0" applyBorder="0" applyAlignment="0"/>
    <xf numFmtId="164" fontId="9" fillId="0" borderId="0" applyFill="0" applyBorder="0" applyAlignment="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219" fontId="9" fillId="0" borderId="0" applyFill="0" applyBorder="0" applyAlignment="0"/>
    <xf numFmtId="164" fontId="9" fillId="0" borderId="0" applyFill="0" applyBorder="0" applyAlignment="0"/>
    <xf numFmtId="219" fontId="9" fillId="0" borderId="0" applyFill="0" applyBorder="0" applyAlignment="0"/>
    <xf numFmtId="220" fontId="9" fillId="0" borderId="0" applyFill="0" applyBorder="0" applyAlignment="0"/>
    <xf numFmtId="164" fontId="9" fillId="0" borderId="0" applyFill="0" applyBorder="0" applyAlignment="0"/>
    <xf numFmtId="222" fontId="9" fillId="0" borderId="0"/>
    <xf numFmtId="0" fontId="58" fillId="0" borderId="0"/>
    <xf numFmtId="0" fontId="58" fillId="0" borderId="0"/>
    <xf numFmtId="0" fontId="58" fillId="0" borderId="0"/>
    <xf numFmtId="0" fontId="58" fillId="0" borderId="0"/>
    <xf numFmtId="0" fontId="9" fillId="0" borderId="0">
      <alignment wrapText="1"/>
    </xf>
    <xf numFmtId="0" fontId="59" fillId="0" borderId="0"/>
    <xf numFmtId="0" fontId="1" fillId="0" borderId="0"/>
    <xf numFmtId="0" fontId="1" fillId="0" borderId="0"/>
    <xf numFmtId="0" fontId="9" fillId="0" borderId="0"/>
    <xf numFmtId="0" fontId="1" fillId="0" borderId="0"/>
    <xf numFmtId="0" fontId="54" fillId="0" borderId="0"/>
    <xf numFmtId="0" fontId="1" fillId="0" borderId="0"/>
    <xf numFmtId="0" fontId="9" fillId="0" borderId="0">
      <alignment wrapText="1"/>
    </xf>
    <xf numFmtId="218" fontId="9" fillId="0" borderId="0" applyFont="0" applyFill="0" applyBorder="0" applyAlignment="0" applyProtection="0"/>
    <xf numFmtId="222" fontId="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219" fontId="9" fillId="0" borderId="0" applyFill="0" applyBorder="0" applyAlignment="0"/>
    <xf numFmtId="164" fontId="9" fillId="0" borderId="0" applyFill="0" applyBorder="0" applyAlignment="0"/>
    <xf numFmtId="219" fontId="9" fillId="0" borderId="0" applyFill="0" applyBorder="0" applyAlignment="0"/>
    <xf numFmtId="220" fontId="9" fillId="0" borderId="0" applyFill="0" applyBorder="0" applyAlignment="0"/>
    <xf numFmtId="164" fontId="9" fillId="0" borderId="0" applyFill="0" applyBorder="0" applyAlignment="0"/>
    <xf numFmtId="223" fontId="9" fillId="0" borderId="0" applyFill="0" applyBorder="0" applyAlignment="0"/>
    <xf numFmtId="224" fontId="9" fillId="0" borderId="0" applyFill="0" applyBorder="0" applyAlignment="0"/>
    <xf numFmtId="37" fontId="60" fillId="0" borderId="0"/>
    <xf numFmtId="4" fontId="55" fillId="0" borderId="0" applyFont="0" applyFill="0" applyBorder="0" applyAlignment="0" applyProtection="0"/>
    <xf numFmtId="9" fontId="61" fillId="0" borderId="0" applyFont="0" applyFill="0" applyBorder="0" applyAlignment="0" applyProtection="0"/>
    <xf numFmtId="0" fontId="5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9" fontId="61" fillId="0" borderId="0" applyFont="0" applyFill="0" applyBorder="0" applyAlignment="0" applyProtection="0"/>
    <xf numFmtId="37" fontId="64" fillId="0" borderId="20">
      <alignment horizontal="right"/>
      <protection locked="0"/>
    </xf>
    <xf numFmtId="37" fontId="63" fillId="0" borderId="20">
      <alignment horizontal="right"/>
      <protection locked="0"/>
    </xf>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383">
    <xf numFmtId="0" fontId="0" fillId="0" borderId="0" xfId="0"/>
    <xf numFmtId="164" fontId="0" fillId="0" borderId="0" xfId="1" applyNumberFormat="1" applyFont="1" applyAlignment="1">
      <alignment horizontal="right"/>
    </xf>
    <xf numFmtId="0" fontId="0" fillId="0" borderId="0" xfId="0" applyAlignment="1">
      <alignment horizontal="right"/>
    </xf>
    <xf numFmtId="0" fontId="0" fillId="0" borderId="3" xfId="0" applyFont="1" applyBorder="1"/>
    <xf numFmtId="9" fontId="6"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43" fontId="12" fillId="0" borderId="0" xfId="1" applyNumberFormat="1" applyFont="1" applyFill="1" applyBorder="1" applyAlignment="1">
      <alignment horizontal="right"/>
    </xf>
    <xf numFmtId="0" fontId="0" fillId="0" borderId="0" xfId="0" applyFont="1"/>
    <xf numFmtId="43" fontId="0" fillId="0" borderId="0" xfId="1" applyFont="1" applyAlignment="1">
      <alignment horizontal="right"/>
    </xf>
    <xf numFmtId="164" fontId="2" fillId="0" borderId="0" xfId="1" quotePrefix="1" applyNumberFormat="1" applyFont="1" applyFill="1" applyBorder="1" applyAlignment="1">
      <alignment horizontal="right"/>
    </xf>
    <xf numFmtId="0" fontId="2" fillId="0" borderId="3" xfId="0" applyFont="1" applyFill="1" applyBorder="1"/>
    <xf numFmtId="43" fontId="0" fillId="0" borderId="0" xfId="1" applyFont="1" applyFill="1"/>
    <xf numFmtId="165" fontId="0" fillId="0" borderId="0" xfId="0" applyNumberFormat="1" applyFill="1"/>
    <xf numFmtId="43" fontId="0" fillId="0" borderId="0" xfId="1" applyFont="1" applyFill="1" applyAlignment="1">
      <alignment horizontal="right"/>
    </xf>
    <xf numFmtId="0" fontId="2" fillId="0" borderId="0" xfId="0" applyFont="1"/>
    <xf numFmtId="0" fontId="13" fillId="0" borderId="0" xfId="0" applyFont="1"/>
    <xf numFmtId="0" fontId="0" fillId="0" borderId="0" xfId="0"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0" xfId="0"/>
    <xf numFmtId="0" fontId="0" fillId="0" borderId="3" xfId="0" applyFont="1" applyFill="1" applyBorder="1"/>
    <xf numFmtId="0" fontId="2" fillId="0" borderId="3" xfId="0" applyFont="1" applyBorder="1" applyAlignment="1">
      <alignment horizontal="left"/>
    </xf>
    <xf numFmtId="0" fontId="2" fillId="0" borderId="4" xfId="0" applyFont="1" applyBorder="1" applyAlignment="1">
      <alignment horizontal="left"/>
    </xf>
    <xf numFmtId="0" fontId="0" fillId="0" borderId="0" xfId="0"/>
    <xf numFmtId="166" fontId="1" fillId="0" borderId="0" xfId="2" quotePrefix="1" applyNumberFormat="1" applyFont="1" applyFill="1" applyBorder="1" applyAlignment="1">
      <alignment horizontal="right"/>
    </xf>
    <xf numFmtId="165" fontId="1" fillId="0" borderId="5" xfId="1" quotePrefix="1" applyNumberFormat="1" applyFont="1" applyFill="1" applyBorder="1" applyAlignment="1">
      <alignment horizontal="right"/>
    </xf>
    <xf numFmtId="166" fontId="1" fillId="2" borderId="0" xfId="2" quotePrefix="1" applyNumberFormat="1" applyFont="1" applyFill="1" applyBorder="1" applyAlignment="1">
      <alignment horizontal="right"/>
    </xf>
    <xf numFmtId="0" fontId="0" fillId="0" borderId="6" xfId="0" applyFont="1" applyFill="1" applyBorder="1" applyAlignment="1">
      <alignment horizontal="left"/>
    </xf>
    <xf numFmtId="0" fontId="0" fillId="0" borderId="10" xfId="0" applyFont="1" applyFill="1" applyBorder="1" applyAlignment="1">
      <alignment horizontal="left"/>
    </xf>
    <xf numFmtId="43" fontId="10" fillId="0" borderId="0" xfId="1" applyNumberFormat="1" applyFont="1" applyFill="1" applyBorder="1" applyAlignment="1">
      <alignment horizontal="right"/>
    </xf>
    <xf numFmtId="43" fontId="1" fillId="0" borderId="4" xfId="1" applyNumberFormat="1" applyFont="1" applyFill="1" applyBorder="1" applyAlignment="1">
      <alignment horizontal="right"/>
    </xf>
    <xf numFmtId="43" fontId="1" fillId="0" borderId="5" xfId="1" applyNumberFormat="1" applyFont="1" applyFill="1" applyBorder="1" applyAlignment="1">
      <alignment horizontal="right"/>
    </xf>
    <xf numFmtId="166" fontId="1" fillId="0" borderId="5" xfId="2" quotePrefix="1" applyNumberFormat="1" applyFont="1" applyFill="1" applyBorder="1" applyAlignment="1">
      <alignment horizontal="right"/>
    </xf>
    <xf numFmtId="165" fontId="0" fillId="0" borderId="0" xfId="1" quotePrefix="1" applyNumberFormat="1" applyFont="1" applyFill="1" applyBorder="1" applyAlignment="1">
      <alignment horizontal="right"/>
    </xf>
    <xf numFmtId="43" fontId="1" fillId="0" borderId="0" xfId="1" applyNumberFormat="1" applyFont="1" applyFill="1" applyBorder="1" applyAlignment="1">
      <alignment horizontal="right"/>
    </xf>
    <xf numFmtId="165" fontId="1" fillId="0" borderId="0" xfId="1" quotePrefix="1" applyNumberFormat="1" applyFont="1" applyFill="1" applyBorder="1" applyAlignment="1">
      <alignment horizontal="right"/>
    </xf>
    <xf numFmtId="165" fontId="0" fillId="0" borderId="0" xfId="0" applyNumberFormat="1"/>
    <xf numFmtId="0" fontId="8" fillId="0" borderId="4" xfId="0" applyFont="1" applyFill="1" applyBorder="1" applyAlignment="1">
      <alignment horizontal="left"/>
    </xf>
    <xf numFmtId="165" fontId="1" fillId="0" borderId="28" xfId="1" quotePrefix="1" applyNumberFormat="1" applyFont="1" applyFill="1" applyBorder="1" applyAlignment="1">
      <alignment horizontal="right"/>
    </xf>
    <xf numFmtId="165" fontId="1" fillId="0" borderId="27" xfId="1" quotePrefix="1" applyNumberFormat="1" applyFont="1" applyFill="1" applyBorder="1" applyAlignment="1">
      <alignment horizontal="right"/>
    </xf>
    <xf numFmtId="0" fontId="0" fillId="0" borderId="0" xfId="0" applyFont="1"/>
    <xf numFmtId="164" fontId="65" fillId="5" borderId="2" xfId="1" quotePrefix="1" applyNumberFormat="1" applyFont="1" applyFill="1" applyBorder="1" applyAlignment="1">
      <alignment horizontal="right"/>
    </xf>
    <xf numFmtId="164" fontId="66" fillId="5" borderId="0" xfId="1" quotePrefix="1" applyNumberFormat="1" applyFont="1" applyFill="1" applyBorder="1" applyAlignment="1">
      <alignment horizontal="right"/>
    </xf>
    <xf numFmtId="0" fontId="0" fillId="0" borderId="0" xfId="0"/>
    <xf numFmtId="0" fontId="0" fillId="0" borderId="0" xfId="0"/>
    <xf numFmtId="43" fontId="2" fillId="0" borderId="5" xfId="1" applyNumberFormat="1" applyFont="1" applyFill="1" applyBorder="1" applyAlignment="1">
      <alignment horizontal="right"/>
    </xf>
    <xf numFmtId="165" fontId="1" fillId="0" borderId="29" xfId="1" quotePrefix="1" applyNumberFormat="1" applyFont="1" applyFill="1" applyBorder="1" applyAlignment="1">
      <alignment horizontal="right"/>
    </xf>
    <xf numFmtId="165" fontId="1" fillId="0" borderId="30" xfId="1" quotePrefix="1" applyNumberFormat="1" applyFont="1" applyFill="1" applyBorder="1" applyAlignment="1">
      <alignment horizontal="right"/>
    </xf>
    <xf numFmtId="166" fontId="1" fillId="0" borderId="30" xfId="2" quotePrefix="1" applyNumberFormat="1" applyFont="1" applyFill="1" applyBorder="1" applyAlignment="1">
      <alignment horizontal="right"/>
    </xf>
    <xf numFmtId="0" fontId="0" fillId="0" borderId="0" xfId="0"/>
    <xf numFmtId="0" fontId="0" fillId="0" borderId="0" xfId="0" applyFont="1"/>
    <xf numFmtId="0" fontId="2" fillId="0" borderId="0" xfId="0" applyFont="1"/>
    <xf numFmtId="164" fontId="65" fillId="5" borderId="2" xfId="1" quotePrefix="1" applyNumberFormat="1" applyFont="1" applyFill="1" applyBorder="1" applyAlignment="1">
      <alignment horizontal="right"/>
    </xf>
    <xf numFmtId="164" fontId="66" fillId="5" borderId="0"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2" fillId="0" borderId="6" xfId="0" applyFont="1" applyFill="1" applyBorder="1" applyAlignment="1">
      <alignment horizontal="left"/>
    </xf>
    <xf numFmtId="166" fontId="1" fillId="2" borderId="4" xfId="2" quotePrefix="1" applyNumberFormat="1" applyFont="1" applyFill="1" applyBorder="1" applyAlignment="1">
      <alignment horizontal="right"/>
    </xf>
    <xf numFmtId="166" fontId="1" fillId="2" borderId="3" xfId="2" quotePrefix="1" applyNumberFormat="1" applyFont="1" applyFill="1" applyBorder="1" applyAlignment="1">
      <alignment horizontal="right"/>
    </xf>
    <xf numFmtId="164" fontId="65" fillId="5" borderId="11" xfId="1" quotePrefix="1" applyNumberFormat="1" applyFont="1" applyFill="1" applyBorder="1" applyAlignment="1">
      <alignment horizontal="right"/>
    </xf>
    <xf numFmtId="164" fontId="66" fillId="5" borderId="4"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ill="1"/>
    <xf numFmtId="165" fontId="2" fillId="0" borderId="30" xfId="1" quotePrefix="1" applyNumberFormat="1" applyFont="1" applyBorder="1" applyAlignment="1">
      <alignment horizontal="right"/>
    </xf>
    <xf numFmtId="165" fontId="2" fillId="0" borderId="27" xfId="1" quotePrefix="1" applyNumberFormat="1" applyFont="1" applyBorder="1" applyAlignment="1">
      <alignment horizontal="right"/>
    </xf>
    <xf numFmtId="165" fontId="2" fillId="0" borderId="30"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3" xfId="0" applyFont="1" applyFill="1" applyBorder="1" applyAlignment="1">
      <alignment horizontal="left"/>
    </xf>
    <xf numFmtId="165" fontId="2" fillId="0" borderId="0" xfId="0" applyNumberFormat="1" applyFont="1"/>
    <xf numFmtId="43" fontId="1" fillId="0" borderId="0" xfId="1" quotePrefix="1" applyFont="1" applyFill="1" applyBorder="1" applyAlignment="1">
      <alignment horizontal="right"/>
    </xf>
    <xf numFmtId="43" fontId="1" fillId="0" borderId="5" xfId="1" quotePrefix="1" applyFont="1" applyFill="1" applyBorder="1" applyAlignment="1">
      <alignment horizontal="right"/>
    </xf>
    <xf numFmtId="43" fontId="1" fillId="0" borderId="3" xfId="1" applyNumberFormat="1" applyFont="1" applyFill="1" applyBorder="1" applyAlignment="1">
      <alignment horizontal="right"/>
    </xf>
    <xf numFmtId="43" fontId="2" fillId="0" borderId="0" xfId="1" applyNumberFormat="1" applyFont="1" applyFill="1" applyBorder="1" applyAlignment="1">
      <alignment horizontal="right"/>
    </xf>
    <xf numFmtId="43" fontId="2" fillId="0" borderId="4" xfId="1" applyNumberFormat="1" applyFont="1" applyFill="1" applyBorder="1" applyAlignment="1">
      <alignment horizontal="right"/>
    </xf>
    <xf numFmtId="43" fontId="2" fillId="0" borderId="3" xfId="1" applyNumberFormat="1" applyFont="1" applyFill="1" applyBorder="1" applyAlignment="1">
      <alignment horizontal="right"/>
    </xf>
    <xf numFmtId="165" fontId="0" fillId="0" borderId="0" xfId="1" applyNumberFormat="1" applyFont="1"/>
    <xf numFmtId="9" fontId="1" fillId="0" borderId="0" xfId="2" quotePrefix="1" applyFont="1" applyFill="1" applyBorder="1" applyAlignment="1">
      <alignment horizontal="right"/>
    </xf>
    <xf numFmtId="9" fontId="1" fillId="0" borderId="5" xfId="2" quotePrefix="1" applyFont="1" applyFill="1" applyBorder="1" applyAlignment="1">
      <alignment horizontal="right"/>
    </xf>
    <xf numFmtId="166" fontId="1" fillId="0" borderId="27" xfId="2" quotePrefix="1" applyNumberFormat="1" applyFont="1" applyFill="1" applyBorder="1" applyAlignment="1">
      <alignment horizontal="right"/>
    </xf>
    <xf numFmtId="167" fontId="1" fillId="0" borderId="0" xfId="1" quotePrefix="1" applyNumberFormat="1" applyFont="1" applyFill="1" applyBorder="1" applyAlignment="1">
      <alignment horizontal="right"/>
    </xf>
    <xf numFmtId="167" fontId="1" fillId="0" borderId="5" xfId="1" quotePrefix="1" applyNumberFormat="1" applyFont="1" applyFill="1" applyBorder="1" applyAlignment="1">
      <alignment horizontal="right"/>
    </xf>
    <xf numFmtId="167" fontId="0" fillId="0" borderId="0" xfId="1" applyNumberFormat="1" applyFont="1"/>
    <xf numFmtId="0" fontId="4" fillId="0" borderId="0" xfId="0" applyFont="1"/>
    <xf numFmtId="167" fontId="1" fillId="0" borderId="4" xfId="1" quotePrefix="1" applyNumberFormat="1" applyFont="1" applyFill="1" applyBorder="1" applyAlignment="1">
      <alignment horizontal="right"/>
    </xf>
    <xf numFmtId="167" fontId="1" fillId="0" borderId="3" xfId="1" quotePrefix="1" applyNumberFormat="1" applyFont="1" applyFill="1" applyBorder="1" applyAlignment="1">
      <alignment horizontal="right"/>
    </xf>
    <xf numFmtId="0" fontId="67" fillId="0" borderId="4" xfId="0" applyFont="1" applyFill="1" applyBorder="1" applyAlignment="1">
      <alignment horizontal="left"/>
    </xf>
    <xf numFmtId="225" fontId="0" fillId="0" borderId="4" xfId="2" applyNumberFormat="1" applyFont="1" applyFill="1" applyBorder="1" applyAlignment="1">
      <alignment horizontal="right"/>
    </xf>
    <xf numFmtId="225" fontId="0" fillId="0" borderId="4" xfId="1" applyNumberFormat="1" applyFont="1" applyFill="1" applyBorder="1" applyAlignment="1">
      <alignment horizontal="right"/>
    </xf>
    <xf numFmtId="225" fontId="0" fillId="2" borderId="4" xfId="1" applyNumberFormat="1" applyFont="1" applyFill="1" applyBorder="1" applyAlignment="1">
      <alignment horizontal="right"/>
    </xf>
    <xf numFmtId="0" fontId="0" fillId="0" borderId="3"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0" fillId="0" borderId="1" xfId="0" applyFont="1" applyBorder="1"/>
    <xf numFmtId="5" fontId="0" fillId="0" borderId="4" xfId="1" applyNumberFormat="1" applyFont="1" applyFill="1" applyBorder="1" applyAlignment="1">
      <alignment horizontal="right"/>
    </xf>
    <xf numFmtId="0" fontId="0" fillId="0" borderId="31" xfId="0" applyFont="1" applyFill="1" applyBorder="1"/>
    <xf numFmtId="0" fontId="2" fillId="0" borderId="1" xfId="0" applyFont="1" applyFill="1" applyBorder="1" applyAlignment="1">
      <alignment horizontal="left"/>
    </xf>
    <xf numFmtId="166" fontId="0" fillId="0" borderId="0" xfId="1" applyNumberFormat="1" applyFont="1" applyAlignment="1">
      <alignment horizontal="right"/>
    </xf>
    <xf numFmtId="9" fontId="0" fillId="2" borderId="11" xfId="1" applyNumberFormat="1" applyFont="1" applyFill="1" applyBorder="1" applyAlignment="1">
      <alignment horizontal="right"/>
    </xf>
    <xf numFmtId="0" fontId="69" fillId="0" borderId="0" xfId="0" applyFo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5" fontId="2" fillId="0" borderId="9" xfId="1" applyNumberFormat="1" applyFont="1" applyFill="1" applyBorder="1" applyAlignment="1">
      <alignment horizontal="left"/>
    </xf>
    <xf numFmtId="0" fontId="0" fillId="0" borderId="0" xfId="0" applyFont="1" applyFill="1"/>
    <xf numFmtId="0" fontId="0" fillId="0" borderId="0" xfId="0" applyFill="1" applyBorder="1"/>
    <xf numFmtId="0" fontId="8" fillId="0" borderId="0" xfId="0" applyFont="1" applyFill="1" applyBorder="1" applyAlignment="1">
      <alignment horizontal="left"/>
    </xf>
    <xf numFmtId="164" fontId="13" fillId="0" borderId="0" xfId="1" applyNumberFormat="1" applyFont="1" applyAlignment="1">
      <alignment horizontal="right"/>
    </xf>
    <xf numFmtId="165" fontId="13" fillId="0" borderId="3" xfId="1" applyNumberFormat="1" applyFont="1" applyFill="1" applyBorder="1" applyAlignment="1">
      <alignment horizontal="right"/>
    </xf>
    <xf numFmtId="165" fontId="13" fillId="0" borderId="0" xfId="1" applyNumberFormat="1" applyFont="1" applyBorder="1" applyAlignment="1">
      <alignment horizontal="right"/>
    </xf>
    <xf numFmtId="165" fontId="13" fillId="0" borderId="4" xfId="1" applyNumberFormat="1" applyFont="1" applyBorder="1" applyAlignment="1">
      <alignment horizontal="right"/>
    </xf>
    <xf numFmtId="165" fontId="13" fillId="0" borderId="5" xfId="1" applyNumberFormat="1" applyFont="1" applyBorder="1" applyAlignment="1">
      <alignment horizontal="right"/>
    </xf>
    <xf numFmtId="165" fontId="5" fillId="0" borderId="0" xfId="1" applyNumberFormat="1" applyFont="1" applyBorder="1" applyAlignment="1">
      <alignment horizontal="right"/>
    </xf>
    <xf numFmtId="165" fontId="7" fillId="0" borderId="0" xfId="1" applyNumberFormat="1" applyFont="1" applyFill="1" applyBorder="1" applyAlignment="1">
      <alignment horizontal="right"/>
    </xf>
    <xf numFmtId="165" fontId="6" fillId="0" borderId="0" xfId="1" applyNumberFormat="1" applyFont="1" applyBorder="1" applyAlignment="1">
      <alignment horizontal="right"/>
    </xf>
    <xf numFmtId="165" fontId="7" fillId="0" borderId="5" xfId="1" applyNumberFormat="1" applyFont="1" applyBorder="1" applyAlignment="1">
      <alignment horizontal="right"/>
    </xf>
    <xf numFmtId="165" fontId="7" fillId="0" borderId="0" xfId="1" applyNumberFormat="1" applyFont="1" applyBorder="1" applyAlignment="1">
      <alignment horizontal="right"/>
    </xf>
    <xf numFmtId="0" fontId="0" fillId="0" borderId="0" xfId="0" applyFont="1" applyAlignment="1">
      <alignment horizontal="left"/>
    </xf>
    <xf numFmtId="165" fontId="0" fillId="0" borderId="3" xfId="1" applyNumberFormat="1" applyFont="1" applyFill="1" applyBorder="1" applyAlignment="1">
      <alignment horizontal="right"/>
    </xf>
    <xf numFmtId="165" fontId="0" fillId="0" borderId="0" xfId="1" applyNumberFormat="1" applyFont="1" applyBorder="1" applyAlignment="1">
      <alignment horizontal="right"/>
    </xf>
    <xf numFmtId="165" fontId="0" fillId="0" borderId="4" xfId="1" applyNumberFormat="1" applyFont="1" applyBorder="1" applyAlignment="1">
      <alignment horizontal="right"/>
    </xf>
    <xf numFmtId="165" fontId="0" fillId="0" borderId="5" xfId="1" applyNumberFormat="1" applyFont="1" applyBorder="1" applyAlignment="1">
      <alignment horizontal="right"/>
    </xf>
    <xf numFmtId="165" fontId="5" fillId="0" borderId="3" xfId="1" applyNumberFormat="1" applyFont="1" applyBorder="1" applyAlignment="1">
      <alignment horizontal="right"/>
    </xf>
    <xf numFmtId="165" fontId="0" fillId="0" borderId="0" xfId="1" applyNumberFormat="1" applyFont="1" applyFill="1" applyBorder="1" applyAlignment="1">
      <alignment horizontal="right"/>
    </xf>
    <xf numFmtId="165" fontId="1" fillId="2" borderId="0"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165" fontId="13" fillId="0" borderId="0"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165" fontId="0" fillId="0" borderId="0" xfId="1" applyNumberFormat="1" applyFont="1" applyAlignment="1">
      <alignment horizontal="right"/>
    </xf>
    <xf numFmtId="165" fontId="0" fillId="0" borderId="0" xfId="0" applyNumberFormat="1" applyAlignment="1">
      <alignment horizontal="right"/>
    </xf>
    <xf numFmtId="165" fontId="0" fillId="0" borderId="0" xfId="1" applyNumberFormat="1" applyFont="1" applyFill="1" applyAlignment="1">
      <alignment horizontal="right"/>
    </xf>
    <xf numFmtId="165" fontId="0" fillId="0" borderId="0" xfId="1" applyNumberFormat="1" applyFont="1" applyFill="1"/>
    <xf numFmtId="165" fontId="16" fillId="3" borderId="2" xfId="1" quotePrefix="1" applyNumberFormat="1" applyFont="1" applyFill="1" applyBorder="1" applyAlignment="1">
      <alignment horizontal="right"/>
    </xf>
    <xf numFmtId="165" fontId="18" fillId="3" borderId="0" xfId="1" quotePrefix="1" applyNumberFormat="1" applyFont="1" applyFill="1" applyBorder="1" applyAlignment="1">
      <alignment horizontal="right"/>
    </xf>
    <xf numFmtId="165" fontId="1" fillId="0" borderId="3" xfId="1" applyNumberFormat="1" applyFont="1" applyFill="1" applyBorder="1" applyAlignment="1">
      <alignment horizontal="right"/>
    </xf>
    <xf numFmtId="165" fontId="1" fillId="0" borderId="0" xfId="1" applyNumberFormat="1" applyFont="1" applyFill="1" applyBorder="1" applyAlignment="1">
      <alignment horizontal="right"/>
    </xf>
    <xf numFmtId="165" fontId="1" fillId="0" borderId="4" xfId="1" applyNumberFormat="1" applyFont="1" applyFill="1" applyBorder="1" applyAlignment="1">
      <alignment horizontal="right"/>
    </xf>
    <xf numFmtId="165" fontId="1" fillId="0" borderId="5" xfId="1" applyNumberFormat="1" applyFont="1" applyFill="1" applyBorder="1" applyAlignment="1">
      <alignment horizontal="right"/>
    </xf>
    <xf numFmtId="165" fontId="10" fillId="0" borderId="0" xfId="1" applyNumberFormat="1" applyFont="1" applyFill="1" applyBorder="1" applyAlignment="1">
      <alignment horizontal="right"/>
    </xf>
    <xf numFmtId="165" fontId="4" fillId="0" borderId="3"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4" xfId="1" applyNumberFormat="1" applyFont="1" applyFill="1" applyBorder="1" applyAlignment="1">
      <alignment horizontal="right"/>
    </xf>
    <xf numFmtId="165" fontId="4" fillId="0" borderId="5" xfId="1" applyNumberFormat="1" applyFont="1" applyFill="1" applyBorder="1" applyAlignment="1">
      <alignment horizontal="right"/>
    </xf>
    <xf numFmtId="165" fontId="11" fillId="0" borderId="0" xfId="1" applyNumberFormat="1" applyFont="1" applyFill="1" applyBorder="1" applyAlignment="1">
      <alignment horizontal="right"/>
    </xf>
    <xf numFmtId="165" fontId="2" fillId="0" borderId="3" xfId="1" applyNumberFormat="1" applyFont="1" applyFill="1" applyBorder="1" applyAlignment="1">
      <alignment horizontal="right"/>
    </xf>
    <xf numFmtId="165" fontId="2" fillId="0" borderId="0" xfId="1" applyNumberFormat="1" applyFont="1" applyFill="1" applyBorder="1" applyAlignment="1">
      <alignment horizontal="right"/>
    </xf>
    <xf numFmtId="165" fontId="2" fillId="0" borderId="4" xfId="1" applyNumberFormat="1" applyFont="1" applyFill="1" applyBorder="1" applyAlignment="1">
      <alignment horizontal="right"/>
    </xf>
    <xf numFmtId="165" fontId="2" fillId="0" borderId="5" xfId="1" applyNumberFormat="1" applyFont="1" applyFill="1" applyBorder="1" applyAlignment="1">
      <alignment horizontal="right"/>
    </xf>
    <xf numFmtId="165" fontId="12" fillId="0" borderId="0" xfId="1" applyNumberFormat="1" applyFont="1" applyFill="1" applyBorder="1" applyAlignment="1">
      <alignment horizontal="right"/>
    </xf>
    <xf numFmtId="165" fontId="10" fillId="0" borderId="4" xfId="1" applyNumberFormat="1" applyFont="1" applyFill="1" applyBorder="1" applyAlignment="1">
      <alignment horizontal="right"/>
    </xf>
    <xf numFmtId="165" fontId="10" fillId="0" borderId="3" xfId="1" applyNumberFormat="1" applyFont="1" applyFill="1" applyBorder="1" applyAlignment="1">
      <alignment horizontal="right"/>
    </xf>
    <xf numFmtId="165" fontId="11" fillId="0" borderId="4" xfId="1" applyNumberFormat="1" applyFont="1" applyFill="1" applyBorder="1" applyAlignment="1">
      <alignment horizontal="right"/>
    </xf>
    <xf numFmtId="165" fontId="11" fillId="0" borderId="3" xfId="1" applyNumberFormat="1" applyFont="1" applyFill="1" applyBorder="1" applyAlignment="1">
      <alignment horizontal="right"/>
    </xf>
    <xf numFmtId="165" fontId="3" fillId="0" borderId="3" xfId="1"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4" xfId="1" applyNumberFormat="1" applyFont="1" applyFill="1" applyBorder="1" applyAlignment="1">
      <alignment horizontal="right"/>
    </xf>
    <xf numFmtId="165" fontId="3" fillId="0" borderId="5" xfId="1" applyNumberFormat="1" applyFont="1" applyFill="1" applyBorder="1" applyAlignment="1">
      <alignment horizontal="right"/>
    </xf>
    <xf numFmtId="165" fontId="19" fillId="0" borderId="0" xfId="1" applyNumberFormat="1" applyFont="1" applyFill="1" applyBorder="1" applyAlignment="1">
      <alignment horizontal="right"/>
    </xf>
    <xf numFmtId="165" fontId="19" fillId="0" borderId="4" xfId="1" applyNumberFormat="1" applyFont="1" applyFill="1" applyBorder="1" applyAlignment="1">
      <alignment horizontal="right"/>
    </xf>
    <xf numFmtId="165" fontId="19" fillId="0" borderId="3" xfId="1" applyNumberFormat="1" applyFont="1" applyFill="1" applyBorder="1" applyAlignment="1">
      <alignment horizontal="right"/>
    </xf>
    <xf numFmtId="165" fontId="12" fillId="0" borderId="4" xfId="1" applyNumberFormat="1" applyFont="1" applyFill="1" applyBorder="1" applyAlignment="1">
      <alignment horizontal="right"/>
    </xf>
    <xf numFmtId="165" fontId="12" fillId="0" borderId="3" xfId="1" applyNumberFormat="1" applyFont="1" applyFill="1" applyBorder="1" applyAlignment="1">
      <alignment horizontal="right"/>
    </xf>
    <xf numFmtId="165" fontId="10" fillId="0" borderId="5" xfId="1" applyNumberFormat="1" applyFont="1" applyFill="1" applyBorder="1" applyAlignment="1">
      <alignment horizontal="right"/>
    </xf>
    <xf numFmtId="165" fontId="1" fillId="0" borderId="30" xfId="2" quotePrefix="1" applyNumberFormat="1" applyFont="1" applyFill="1" applyBorder="1" applyAlignment="1">
      <alignment horizontal="right"/>
    </xf>
    <xf numFmtId="165" fontId="1" fillId="0" borderId="27" xfId="2" quotePrefix="1" applyNumberFormat="1" applyFont="1" applyFill="1" applyBorder="1" applyAlignment="1">
      <alignment horizontal="right"/>
    </xf>
    <xf numFmtId="165" fontId="1" fillId="0" borderId="4" xfId="1" quotePrefix="1" applyNumberFormat="1" applyFont="1" applyFill="1" applyBorder="1" applyAlignment="1">
      <alignment horizontal="right"/>
    </xf>
    <xf numFmtId="165" fontId="1" fillId="0" borderId="3" xfId="1" quotePrefix="1" applyNumberFormat="1" applyFont="1" applyFill="1" applyBorder="1" applyAlignment="1">
      <alignment horizontal="right"/>
    </xf>
    <xf numFmtId="165" fontId="4" fillId="0" borderId="3"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4" xfId="1" quotePrefix="1" applyNumberFormat="1" applyFont="1" applyFill="1" applyBorder="1" applyAlignment="1">
      <alignment horizontal="right"/>
    </xf>
    <xf numFmtId="165" fontId="4" fillId="0" borderId="5" xfId="1" quotePrefix="1" applyNumberFormat="1" applyFont="1" applyFill="1" applyBorder="1" applyAlignment="1">
      <alignment horizontal="right"/>
    </xf>
    <xf numFmtId="165" fontId="2" fillId="0" borderId="0" xfId="1" quotePrefix="1" applyNumberFormat="1" applyFont="1" applyFill="1" applyBorder="1" applyAlignment="1">
      <alignment horizontal="right"/>
    </xf>
    <xf numFmtId="165" fontId="2" fillId="0" borderId="4" xfId="1" quotePrefix="1" applyNumberFormat="1" applyFont="1" applyFill="1" applyBorder="1" applyAlignment="1">
      <alignment horizontal="right"/>
    </xf>
    <xf numFmtId="165" fontId="2" fillId="0" borderId="5" xfId="1" quotePrefix="1" applyNumberFormat="1" applyFont="1" applyFill="1" applyBorder="1" applyAlignment="1">
      <alignment horizontal="right"/>
    </xf>
    <xf numFmtId="165" fontId="2" fillId="0" borderId="3" xfId="1" quotePrefix="1" applyNumberFormat="1" applyFont="1" applyFill="1" applyBorder="1" applyAlignment="1">
      <alignment horizontal="right"/>
    </xf>
    <xf numFmtId="165" fontId="13" fillId="0" borderId="0" xfId="1" applyNumberFormat="1" applyFont="1" applyAlignment="1">
      <alignment horizontal="right"/>
    </xf>
    <xf numFmtId="165" fontId="0" fillId="0" borderId="4" xfId="1" applyNumberFormat="1" applyFont="1" applyFill="1" applyBorder="1" applyAlignment="1">
      <alignment horizontal="right"/>
    </xf>
    <xf numFmtId="165" fontId="0" fillId="0" borderId="5" xfId="1" applyNumberFormat="1" applyFont="1" applyFill="1" applyBorder="1" applyAlignment="1">
      <alignment horizontal="right"/>
    </xf>
    <xf numFmtId="165" fontId="10" fillId="0" borderId="0" xfId="1" applyNumberFormat="1" applyFont="1" applyBorder="1" applyAlignment="1">
      <alignment horizontal="right"/>
    </xf>
    <xf numFmtId="165" fontId="2" fillId="0" borderId="5" xfId="1" applyNumberFormat="1" applyFont="1" applyBorder="1" applyAlignment="1">
      <alignment horizontal="right"/>
    </xf>
    <xf numFmtId="165" fontId="10" fillId="0" borderId="0" xfId="3" applyNumberFormat="1" applyFont="1" applyFill="1">
      <alignment vertical="top"/>
    </xf>
    <xf numFmtId="165" fontId="12" fillId="0" borderId="0" xfId="1" applyNumberFormat="1" applyFont="1" applyBorder="1" applyAlignment="1">
      <alignment horizontal="right"/>
    </xf>
    <xf numFmtId="165" fontId="0" fillId="0" borderId="0" xfId="0" applyNumberFormat="1" applyFont="1"/>
    <xf numFmtId="165" fontId="2" fillId="0" borderId="0" xfId="1" applyNumberFormat="1" applyFont="1" applyBorder="1" applyAlignment="1">
      <alignment horizontal="right"/>
    </xf>
    <xf numFmtId="165" fontId="2" fillId="0" borderId="7" xfId="1" applyNumberFormat="1" applyFont="1" applyFill="1" applyBorder="1" applyAlignment="1">
      <alignment horizontal="right"/>
    </xf>
    <xf numFmtId="165" fontId="2" fillId="0" borderId="10" xfId="1" applyNumberFormat="1" applyFont="1" applyFill="1" applyBorder="1" applyAlignment="1">
      <alignment horizontal="right"/>
    </xf>
    <xf numFmtId="165" fontId="2" fillId="0" borderId="8" xfId="1" applyNumberFormat="1" applyFont="1" applyFill="1" applyBorder="1" applyAlignment="1">
      <alignment horizontal="right"/>
    </xf>
    <xf numFmtId="165" fontId="2" fillId="0" borderId="7" xfId="1" applyNumberFormat="1" applyFont="1" applyBorder="1" applyAlignment="1">
      <alignment horizontal="right"/>
    </xf>
    <xf numFmtId="165" fontId="2" fillId="0" borderId="8" xfId="1" applyNumberFormat="1" applyFont="1" applyBorder="1" applyAlignment="1">
      <alignment horizontal="right"/>
    </xf>
    <xf numFmtId="165" fontId="0" fillId="0" borderId="3" xfId="1" applyNumberFormat="1" applyFont="1" applyBorder="1" applyAlignment="1">
      <alignment horizontal="right"/>
    </xf>
    <xf numFmtId="165" fontId="2" fillId="0" borderId="4" xfId="1" applyNumberFormat="1" applyFont="1" applyBorder="1" applyAlignment="1">
      <alignment horizontal="right"/>
    </xf>
    <xf numFmtId="165" fontId="2" fillId="0" borderId="3" xfId="1" applyNumberFormat="1" applyFont="1" applyBorder="1" applyAlignment="1">
      <alignment horizontal="right"/>
    </xf>
    <xf numFmtId="165" fontId="1" fillId="0" borderId="0" xfId="1" applyNumberFormat="1" applyFont="1" applyBorder="1" applyAlignment="1">
      <alignment horizontal="right"/>
    </xf>
    <xf numFmtId="165" fontId="1" fillId="0" borderId="4" xfId="1" applyNumberFormat="1" applyFont="1" applyBorder="1" applyAlignment="1">
      <alignment horizontal="right"/>
    </xf>
    <xf numFmtId="165" fontId="1" fillId="0" borderId="5" xfId="1" applyNumberFormat="1" applyFont="1" applyBorder="1" applyAlignment="1">
      <alignment horizontal="right"/>
    </xf>
    <xf numFmtId="165" fontId="1" fillId="0" borderId="3" xfId="1" applyNumberFormat="1" applyFont="1" applyBorder="1" applyAlignment="1">
      <alignment horizontal="right"/>
    </xf>
    <xf numFmtId="165" fontId="1" fillId="0" borderId="6" xfId="1" applyNumberFormat="1" applyFont="1" applyFill="1" applyBorder="1" applyAlignment="1">
      <alignment horizontal="right"/>
    </xf>
    <xf numFmtId="165" fontId="1" fillId="0" borderId="7" xfId="1" applyNumberFormat="1" applyFont="1" applyBorder="1" applyAlignment="1">
      <alignment horizontal="right"/>
    </xf>
    <xf numFmtId="165" fontId="1" fillId="0" borderId="10" xfId="1" applyNumberFormat="1" applyFont="1" applyBorder="1" applyAlignment="1">
      <alignment horizontal="right"/>
    </xf>
    <xf numFmtId="165" fontId="0" fillId="0" borderId="0" xfId="2" applyNumberFormat="1" applyFont="1" applyFill="1" applyBorder="1" applyAlignment="1">
      <alignment horizontal="right"/>
    </xf>
    <xf numFmtId="165" fontId="0" fillId="0" borderId="0" xfId="2" applyNumberFormat="1" applyFont="1" applyBorder="1" applyAlignment="1">
      <alignment horizontal="right"/>
    </xf>
    <xf numFmtId="165" fontId="5" fillId="0" borderId="0" xfId="2" applyNumberFormat="1" applyFont="1" applyBorder="1" applyAlignment="1">
      <alignment horizontal="right"/>
    </xf>
    <xf numFmtId="165" fontId="7" fillId="0" borderId="0" xfId="2" applyNumberFormat="1" applyFont="1" applyBorder="1" applyAlignment="1">
      <alignment horizontal="right"/>
    </xf>
    <xf numFmtId="165" fontId="6" fillId="0" borderId="0" xfId="2" applyNumberFormat="1" applyFont="1" applyBorder="1" applyAlignment="1">
      <alignment horizontal="right"/>
    </xf>
    <xf numFmtId="165" fontId="0" fillId="0" borderId="0" xfId="0" applyNumberFormat="1" applyBorder="1" applyAlignment="1">
      <alignment horizontal="right"/>
    </xf>
    <xf numFmtId="165" fontId="0" fillId="0" borderId="0" xfId="2" applyNumberFormat="1" applyFont="1" applyAlignment="1">
      <alignment horizontal="right"/>
    </xf>
    <xf numFmtId="9" fontId="1" fillId="0" borderId="0" xfId="2" quotePrefix="1" applyNumberFormat="1" applyFont="1" applyFill="1" applyBorder="1" applyAlignment="1">
      <alignment horizontal="right"/>
    </xf>
    <xf numFmtId="9" fontId="1" fillId="0" borderId="5" xfId="2" quotePrefix="1" applyNumberFormat="1" applyFont="1" applyFill="1" applyBorder="1" applyAlignment="1">
      <alignment horizontal="right"/>
    </xf>
    <xf numFmtId="165" fontId="0" fillId="0" borderId="5" xfId="1" quotePrefix="1" applyNumberFormat="1" applyFont="1" applyFill="1" applyBorder="1" applyAlignment="1">
      <alignment horizontal="right"/>
    </xf>
    <xf numFmtId="43" fontId="0" fillId="0" borderId="0" xfId="1" applyNumberFormat="1" applyFont="1" applyFill="1" applyBorder="1" applyAlignment="1">
      <alignment horizontal="right"/>
    </xf>
    <xf numFmtId="165" fontId="1" fillId="0" borderId="33"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167" fontId="0" fillId="0" borderId="0" xfId="1" applyNumberFormat="1" applyFont="1" applyFill="1"/>
    <xf numFmtId="0" fontId="2" fillId="0" borderId="0" xfId="0" applyFont="1" applyFill="1"/>
    <xf numFmtId="164" fontId="13" fillId="0" borderId="0" xfId="1" applyNumberFormat="1" applyFont="1" applyFill="1" applyAlignment="1">
      <alignment horizontal="right"/>
    </xf>
    <xf numFmtId="164" fontId="1" fillId="2" borderId="0" xfId="1" quotePrefix="1" applyNumberFormat="1" applyFont="1" applyFill="1" applyBorder="1" applyAlignment="1">
      <alignment horizontal="right"/>
    </xf>
    <xf numFmtId="165" fontId="12" fillId="0" borderId="5" xfId="1" applyNumberFormat="1" applyFont="1" applyFill="1" applyBorder="1" applyAlignment="1">
      <alignment horizontal="right"/>
    </xf>
    <xf numFmtId="165" fontId="0" fillId="0" borderId="0" xfId="1" applyNumberFormat="1" applyFont="1" applyFill="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28" xfId="0" applyFont="1" applyFill="1" applyBorder="1" applyAlignment="1">
      <alignment horizontal="left"/>
    </xf>
    <xf numFmtId="0" fontId="2" fillId="0" borderId="29" xfId="0" applyFont="1" applyFill="1" applyBorder="1" applyAlignment="1">
      <alignment horizontal="left"/>
    </xf>
    <xf numFmtId="43" fontId="10" fillId="2" borderId="0" xfId="1" applyNumberFormat="1" applyFont="1" applyFill="1" applyBorder="1" applyAlignment="1">
      <alignment horizontal="right"/>
    </xf>
    <xf numFmtId="167" fontId="1" fillId="2" borderId="0" xfId="1" quotePrefix="1" applyNumberFormat="1" applyFont="1" applyFill="1" applyBorder="1" applyAlignment="1">
      <alignment horizontal="right"/>
    </xf>
    <xf numFmtId="165" fontId="4" fillId="11" borderId="5" xfId="1" applyNumberFormat="1" applyFont="1" applyFill="1" applyBorder="1" applyAlignment="1">
      <alignment horizontal="right"/>
    </xf>
    <xf numFmtId="165" fontId="2" fillId="11" borderId="5" xfId="1" applyNumberFormat="1" applyFont="1" applyFill="1" applyBorder="1" applyAlignment="1">
      <alignment horizontal="right"/>
    </xf>
    <xf numFmtId="165" fontId="1" fillId="11" borderId="0" xfId="1" quotePrefix="1" applyNumberFormat="1" applyFont="1" applyFill="1" applyBorder="1" applyAlignment="1">
      <alignment horizontal="right"/>
    </xf>
    <xf numFmtId="166" fontId="1" fillId="4" borderId="0" xfId="2" quotePrefix="1" applyNumberFormat="1" applyFont="1" applyFill="1" applyBorder="1" applyAlignment="1">
      <alignment horizontal="right"/>
    </xf>
    <xf numFmtId="43" fontId="1" fillId="0" borderId="7" xfId="1" applyNumberFormat="1" applyFont="1" applyBorder="1" applyAlignment="1">
      <alignment horizontal="right"/>
    </xf>
    <xf numFmtId="43" fontId="1" fillId="0" borderId="10" xfId="1" applyNumberFormat="1" applyFont="1" applyBorder="1" applyAlignment="1">
      <alignment horizontal="right"/>
    </xf>
    <xf numFmtId="165" fontId="11" fillId="2" borderId="0" xfId="1" applyNumberFormat="1" applyFont="1" applyFill="1" applyBorder="1" applyAlignment="1">
      <alignment horizontal="right"/>
    </xf>
    <xf numFmtId="165" fontId="11" fillId="2" borderId="4" xfId="1" applyNumberFormat="1" applyFont="1" applyFill="1" applyBorder="1" applyAlignment="1">
      <alignment horizontal="right"/>
    </xf>
    <xf numFmtId="165" fontId="11" fillId="2" borderId="3" xfId="1" applyNumberFormat="1" applyFont="1" applyFill="1" applyBorder="1" applyAlignment="1">
      <alignment horizontal="right"/>
    </xf>
    <xf numFmtId="165" fontId="12" fillId="2" borderId="0" xfId="1" applyNumberFormat="1" applyFont="1" applyFill="1" applyBorder="1" applyAlignment="1">
      <alignment horizontal="right"/>
    </xf>
    <xf numFmtId="164" fontId="3" fillId="0" borderId="0" xfId="1" quotePrefix="1" applyNumberFormat="1" applyFont="1" applyFill="1" applyBorder="1" applyAlignment="1">
      <alignment horizontal="right"/>
    </xf>
    <xf numFmtId="164" fontId="3" fillId="0" borderId="5" xfId="1" quotePrefix="1" applyNumberFormat="1" applyFont="1" applyFill="1" applyBorder="1" applyAlignment="1">
      <alignment horizontal="right"/>
    </xf>
    <xf numFmtId="165" fontId="3" fillId="0" borderId="5" xfId="1" quotePrefix="1" applyNumberFormat="1" applyFont="1" applyFill="1" applyBorder="1" applyAlignment="1">
      <alignment horizontal="right"/>
    </xf>
    <xf numFmtId="0" fontId="8" fillId="0" borderId="29" xfId="0" applyFont="1" applyFill="1" applyBorder="1" applyAlignment="1">
      <alignment horizontal="left"/>
    </xf>
    <xf numFmtId="164" fontId="3" fillId="0" borderId="30" xfId="1" quotePrefix="1" applyNumberFormat="1" applyFont="1" applyFill="1" applyBorder="1" applyAlignment="1">
      <alignment horizontal="right"/>
    </xf>
    <xf numFmtId="164" fontId="3" fillId="0" borderId="27" xfId="1" quotePrefix="1" applyNumberFormat="1" applyFont="1" applyFill="1" applyBorder="1" applyAlignment="1">
      <alignment horizontal="right"/>
    </xf>
    <xf numFmtId="9" fontId="1" fillId="0" borderId="30" xfId="2" quotePrefix="1" applyFont="1" applyFill="1" applyBorder="1" applyAlignment="1">
      <alignment horizontal="right"/>
    </xf>
    <xf numFmtId="9" fontId="1" fillId="0" borderId="27" xfId="2" quotePrefix="1" applyFont="1" applyFill="1" applyBorder="1" applyAlignment="1">
      <alignment horizontal="right"/>
    </xf>
    <xf numFmtId="43" fontId="10" fillId="4" borderId="0" xfId="1" applyNumberFormat="1" applyFont="1" applyFill="1" applyBorder="1" applyAlignment="1">
      <alignment horizontal="right"/>
    </xf>
    <xf numFmtId="43" fontId="12" fillId="4" borderId="0" xfId="1" applyNumberFormat="1" applyFont="1" applyFill="1" applyBorder="1" applyAlignment="1">
      <alignment horizontal="right"/>
    </xf>
    <xf numFmtId="43" fontId="1" fillId="4" borderId="5" xfId="1" applyNumberFormat="1" applyFont="1" applyFill="1" applyBorder="1" applyAlignment="1">
      <alignment horizontal="right"/>
    </xf>
    <xf numFmtId="43" fontId="2" fillId="4" borderId="5" xfId="1" applyNumberFormat="1" applyFont="1" applyFill="1" applyBorder="1" applyAlignment="1">
      <alignment horizontal="right"/>
    </xf>
    <xf numFmtId="165" fontId="12" fillId="4" borderId="0" xfId="1" applyNumberFormat="1" applyFont="1" applyFill="1" applyBorder="1" applyAlignment="1">
      <alignment horizontal="right"/>
    </xf>
    <xf numFmtId="165" fontId="2" fillId="4" borderId="5" xfId="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43" fontId="1" fillId="0" borderId="8" xfId="1" applyNumberFormat="1" applyFont="1" applyBorder="1" applyAlignment="1">
      <alignment horizontal="right"/>
    </xf>
    <xf numFmtId="226" fontId="2" fillId="0" borderId="10" xfId="1" applyNumberFormat="1" applyFont="1" applyBorder="1" applyAlignment="1">
      <alignment horizontal="right"/>
    </xf>
    <xf numFmtId="5" fontId="0" fillId="0" borderId="32" xfId="0" applyNumberFormat="1" applyFont="1" applyBorder="1"/>
    <xf numFmtId="9" fontId="0" fillId="2" borderId="4" xfId="2"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31" xfId="0" applyFont="1" applyFill="1" applyBorder="1" applyAlignment="1">
      <alignment horizontal="left"/>
    </xf>
    <xf numFmtId="0" fontId="0" fillId="0" borderId="32" xfId="0" applyFont="1" applyFill="1" applyBorder="1" applyAlignment="1">
      <alignment horizontal="left"/>
    </xf>
    <xf numFmtId="165" fontId="1" fillId="0" borderId="31" xfId="1" applyNumberFormat="1" applyFont="1" applyFill="1" applyBorder="1" applyAlignment="1">
      <alignment horizontal="right"/>
    </xf>
    <xf numFmtId="165" fontId="1" fillId="0" borderId="35" xfId="1" applyNumberFormat="1" applyFont="1" applyFill="1" applyBorder="1" applyAlignment="1">
      <alignment horizontal="right"/>
    </xf>
    <xf numFmtId="165" fontId="1" fillId="0" borderId="32" xfId="1" applyNumberFormat="1" applyFont="1" applyFill="1" applyBorder="1" applyAlignment="1">
      <alignment horizontal="right"/>
    </xf>
    <xf numFmtId="165" fontId="1" fillId="0" borderId="34" xfId="1" applyNumberFormat="1" applyFont="1" applyFill="1" applyBorder="1" applyAlignment="1">
      <alignment horizontal="right"/>
    </xf>
    <xf numFmtId="165" fontId="10" fillId="0" borderId="35" xfId="1" applyNumberFormat="1" applyFont="1" applyFill="1" applyBorder="1" applyAlignment="1">
      <alignment horizontal="right"/>
    </xf>
    <xf numFmtId="165" fontId="1" fillId="0" borderId="35" xfId="1" quotePrefix="1" applyNumberFormat="1" applyFont="1" applyFill="1" applyBorder="1" applyAlignment="1">
      <alignment horizontal="right"/>
    </xf>
    <xf numFmtId="165" fontId="1" fillId="0" borderId="34" xfId="1" quotePrefix="1" applyNumberFormat="1" applyFont="1" applyFill="1" applyBorder="1" applyAlignment="1">
      <alignment horizontal="right"/>
    </xf>
    <xf numFmtId="9" fontId="1" fillId="0" borderId="35" xfId="2" quotePrefix="1" applyFont="1" applyFill="1" applyBorder="1" applyAlignment="1">
      <alignment horizontal="right"/>
    </xf>
    <xf numFmtId="9" fontId="1" fillId="0" borderId="34" xfId="2" quotePrefix="1" applyFont="1" applyFill="1" applyBorder="1" applyAlignment="1">
      <alignment horizontal="right"/>
    </xf>
    <xf numFmtId="166" fontId="1" fillId="2" borderId="35" xfId="2" quotePrefix="1" applyNumberFormat="1" applyFont="1" applyFill="1" applyBorder="1" applyAlignment="1">
      <alignment horizontal="right"/>
    </xf>
    <xf numFmtId="166" fontId="1" fillId="11" borderId="35" xfId="2" quotePrefix="1" applyNumberFormat="1" applyFont="1" applyFill="1" applyBorder="1" applyAlignment="1">
      <alignment horizontal="right"/>
    </xf>
    <xf numFmtId="165" fontId="1" fillId="0" borderId="35" xfId="2" quotePrefix="1" applyNumberFormat="1" applyFont="1" applyFill="1" applyBorder="1" applyAlignment="1">
      <alignment horizontal="right"/>
    </xf>
    <xf numFmtId="165" fontId="1" fillId="0" borderId="34" xfId="2" quotePrefix="1" applyNumberFormat="1" applyFont="1" applyFill="1" applyBorder="1" applyAlignment="1">
      <alignment horizontal="right"/>
    </xf>
    <xf numFmtId="165" fontId="1" fillId="0" borderId="5" xfId="1" quotePrefix="1" applyNumberFormat="1" applyFont="1" applyBorder="1" applyAlignment="1">
      <alignment horizontal="right"/>
    </xf>
    <xf numFmtId="167" fontId="4" fillId="2" borderId="0" xfId="1" quotePrefix="1" applyNumberFormat="1" applyFont="1" applyFill="1" applyBorder="1" applyAlignment="1">
      <alignment horizontal="right"/>
    </xf>
    <xf numFmtId="9" fontId="10" fillId="0" borderId="0" xfId="2" applyFont="1" applyFill="1" applyBorder="1" applyAlignment="1">
      <alignment horizontal="right"/>
    </xf>
    <xf numFmtId="9" fontId="1" fillId="0" borderId="5" xfId="2" applyFont="1" applyFill="1" applyBorder="1" applyAlignment="1">
      <alignment horizontal="right"/>
    </xf>
    <xf numFmtId="165" fontId="0" fillId="0" borderId="5" xfId="0" applyNumberFormat="1" applyFont="1" applyBorder="1"/>
    <xf numFmtId="165" fontId="4" fillId="0" borderId="5" xfId="0" applyNumberFormat="1" applyFont="1" applyBorder="1"/>
    <xf numFmtId="165" fontId="2" fillId="4" borderId="5" xfId="1" quotePrefix="1" applyNumberFormat="1" applyFont="1" applyFill="1" applyBorder="1" applyAlignment="1">
      <alignment horizontal="right"/>
    </xf>
    <xf numFmtId="165" fontId="0" fillId="0" borderId="0" xfId="0" applyNumberFormat="1" applyFill="1" applyBorder="1"/>
    <xf numFmtId="165" fontId="2" fillId="11" borderId="5" xfId="1" quotePrefix="1" applyNumberFormat="1" applyFont="1" applyFill="1" applyBorder="1" applyAlignment="1">
      <alignment horizontal="right"/>
    </xf>
    <xf numFmtId="0" fontId="2" fillId="0" borderId="3" xfId="0" applyFont="1" applyFill="1" applyBorder="1" applyAlignment="1">
      <alignment horizontal="left"/>
    </xf>
    <xf numFmtId="0" fontId="2" fillId="0" borderId="4" xfId="0" applyFont="1" applyFill="1" applyBorder="1" applyAlignment="1">
      <alignment horizontal="left"/>
    </xf>
    <xf numFmtId="43" fontId="0" fillId="0" borderId="4" xfId="1" applyFont="1" applyFill="1" applyBorder="1" applyAlignment="1">
      <alignment horizontal="right"/>
    </xf>
    <xf numFmtId="43" fontId="2" fillId="0" borderId="0" xfId="1" quotePrefix="1" applyNumberFormat="1" applyFont="1" applyFill="1" applyBorder="1" applyAlignment="1">
      <alignment horizontal="right"/>
    </xf>
    <xf numFmtId="43" fontId="2" fillId="0" borderId="5" xfId="1" quotePrefix="1" applyNumberFormat="1" applyFont="1" applyFill="1" applyBorder="1" applyAlignment="1">
      <alignment horizontal="right"/>
    </xf>
    <xf numFmtId="227" fontId="2" fillId="0" borderId="4" xfId="1" applyNumberFormat="1" applyFont="1" applyBorder="1" applyAlignment="1">
      <alignment horizontal="right"/>
    </xf>
    <xf numFmtId="165" fontId="2" fillId="0" borderId="7" xfId="0" applyNumberFormat="1" applyFont="1" applyBorder="1"/>
    <xf numFmtId="165" fontId="4" fillId="11" borderId="0" xfId="1" applyNumberFormat="1" applyFont="1" applyFill="1" applyBorder="1" applyAlignment="1">
      <alignment horizontal="right"/>
    </xf>
    <xf numFmtId="0" fontId="15" fillId="3" borderId="12" xfId="0" applyFont="1" applyFill="1" applyBorder="1" applyAlignment="1">
      <alignment horizontal="left"/>
    </xf>
    <xf numFmtId="0" fontId="15" fillId="3" borderId="13" xfId="0" applyFont="1" applyFill="1" applyBorder="1" applyAlignment="1">
      <alignment horizontal="left"/>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31" xfId="0" applyFont="1" applyFill="1" applyBorder="1" applyAlignment="1">
      <alignment horizontal="left"/>
    </xf>
    <xf numFmtId="0" fontId="0" fillId="0" borderId="32" xfId="0" applyFont="1" applyFill="1" applyBorder="1" applyAlignment="1">
      <alignment horizontal="left"/>
    </xf>
    <xf numFmtId="0" fontId="15" fillId="3" borderId="1" xfId="0" applyFont="1" applyFill="1" applyBorder="1" applyAlignment="1">
      <alignment horizontal="left"/>
    </xf>
    <xf numFmtId="0" fontId="15" fillId="3" borderId="2" xfId="0" applyFont="1" applyFill="1" applyBorder="1" applyAlignment="1">
      <alignment horizontal="left"/>
    </xf>
    <xf numFmtId="0" fontId="2" fillId="0" borderId="28" xfId="0" applyFont="1" applyFill="1" applyBorder="1" applyAlignment="1">
      <alignment horizontal="left"/>
    </xf>
    <xf numFmtId="0" fontId="2" fillId="0" borderId="29" xfId="0" applyFont="1" applyFill="1" applyBorder="1" applyAlignment="1">
      <alignment horizontal="left"/>
    </xf>
    <xf numFmtId="0" fontId="17" fillId="3" borderId="3" xfId="0" applyFont="1" applyFill="1" applyBorder="1" applyAlignment="1">
      <alignment horizontal="left"/>
    </xf>
    <xf numFmtId="0" fontId="17" fillId="3" borderId="0" xfId="0" applyFont="1" applyFill="1" applyBorder="1" applyAlignment="1">
      <alignment horizontal="left"/>
    </xf>
    <xf numFmtId="0" fontId="17" fillId="3" borderId="1" xfId="0" applyFont="1" applyFill="1" applyBorder="1" applyAlignment="1">
      <alignment horizontal="left"/>
    </xf>
    <xf numFmtId="0" fontId="17" fillId="3" borderId="2" xfId="0" applyFont="1" applyFill="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2" borderId="1" xfId="0" applyFont="1" applyFill="1" applyBorder="1" applyAlignment="1">
      <alignment horizontal="left"/>
    </xf>
    <xf numFmtId="0" fontId="0" fillId="2"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4" borderId="6" xfId="0" applyFont="1" applyFill="1" applyBorder="1" applyAlignment="1">
      <alignment horizontal="left"/>
    </xf>
    <xf numFmtId="0" fontId="0" fillId="4" borderId="10"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0" fillId="0" borderId="6" xfId="0" applyFont="1" applyBorder="1" applyAlignment="1">
      <alignment horizontal="left"/>
    </xf>
    <xf numFmtId="0" fontId="0" fillId="0" borderId="10" xfId="0" applyFont="1" applyBorder="1" applyAlignment="1">
      <alignment horizontal="left"/>
    </xf>
    <xf numFmtId="165" fontId="0" fillId="0" borderId="1" xfId="0" applyNumberFormat="1" applyBorder="1"/>
    <xf numFmtId="165" fontId="0" fillId="0" borderId="2" xfId="0" applyNumberFormat="1" applyBorder="1"/>
    <xf numFmtId="0" fontId="0" fillId="0" borderId="11" xfId="0" applyBorder="1"/>
    <xf numFmtId="165" fontId="0" fillId="0" borderId="3" xfId="0" applyNumberFormat="1" applyBorder="1"/>
    <xf numFmtId="165" fontId="0" fillId="0" borderId="0" xfId="0" applyNumberFormat="1" applyBorder="1"/>
    <xf numFmtId="165" fontId="0" fillId="0" borderId="4" xfId="0" applyNumberFormat="1" applyBorder="1"/>
    <xf numFmtId="0" fontId="0" fillId="0" borderId="4" xfId="0" applyBorder="1"/>
    <xf numFmtId="165" fontId="2" fillId="0" borderId="3" xfId="0" applyNumberFormat="1" applyFont="1" applyBorder="1"/>
    <xf numFmtId="165" fontId="2" fillId="0" borderId="0" xfId="0" applyNumberFormat="1" applyFont="1" applyBorder="1"/>
    <xf numFmtId="165" fontId="2" fillId="0" borderId="4" xfId="0" applyNumberFormat="1" applyFont="1" applyBorder="1"/>
    <xf numFmtId="165" fontId="0" fillId="0" borderId="0" xfId="0" applyNumberFormat="1" applyFont="1" applyBorder="1"/>
    <xf numFmtId="165" fontId="0" fillId="0" borderId="4" xfId="0" applyNumberFormat="1" applyFont="1" applyBorder="1"/>
    <xf numFmtId="165" fontId="2" fillId="0" borderId="3" xfId="1" applyNumberFormat="1" applyFont="1" applyBorder="1"/>
    <xf numFmtId="43" fontId="1" fillId="0" borderId="6" xfId="1" applyNumberFormat="1" applyFont="1" applyBorder="1" applyAlignment="1">
      <alignment horizontal="right"/>
    </xf>
    <xf numFmtId="7" fontId="2" fillId="0" borderId="11" xfId="1" applyNumberFormat="1" applyFont="1" applyBorder="1" applyAlignment="1">
      <alignment horizontal="right"/>
    </xf>
    <xf numFmtId="165" fontId="0" fillId="0" borderId="4" xfId="1" applyNumberFormat="1" applyFont="1" applyBorder="1"/>
    <xf numFmtId="165" fontId="2" fillId="0" borderId="10" xfId="0" applyNumberFormat="1" applyFont="1" applyBorder="1"/>
  </cellXfs>
  <cellStyles count="505">
    <cellStyle name="_%(SignOnly)" xfId="7"/>
    <cellStyle name="_%(SignSpaceOnly)" xfId="8"/>
    <cellStyle name="_Comma" xfId="9"/>
    <cellStyle name="_Currency" xfId="10"/>
    <cellStyle name="_CurrencySpace" xfId="11"/>
    <cellStyle name="_Euro" xfId="12"/>
    <cellStyle name="_Heading" xfId="13"/>
    <cellStyle name="_Heading_prestemp" xfId="14"/>
    <cellStyle name="_Heading_prestemp_1st Qtr PL FY07" xfId="15"/>
    <cellStyle name="_Heading_prestemp_Financial Statements" xfId="16"/>
    <cellStyle name="_Heading_prestemp_Financial Statementsvs1" xfId="17"/>
    <cellStyle name="_Highlight" xfId="18"/>
    <cellStyle name="_Multiple" xfId="19"/>
    <cellStyle name="_MultipleSpace" xfId="20"/>
    <cellStyle name="_SubHeading" xfId="21"/>
    <cellStyle name="_SubHeading_prestemp" xfId="22"/>
    <cellStyle name="_SubHeading_prestemp_1st Qtr PL FY07" xfId="23"/>
    <cellStyle name="_SubHeading_prestemp_Financial Statements" xfId="24"/>
    <cellStyle name="_SubHeading_prestemp_Financial Statementsvs1" xfId="25"/>
    <cellStyle name="_Table" xfId="26"/>
    <cellStyle name="_TableHead" xfId="27"/>
    <cellStyle name="_TableRowHead" xfId="28"/>
    <cellStyle name="_TableSuperHead" xfId="29"/>
    <cellStyle name="=C:\WINNT\SYSTEM32\COMMAND.COM" xfId="30"/>
    <cellStyle name="=C:\WINNT\SYSTEM32\COMMAND.COM 2" xfId="255"/>
    <cellStyle name="6-0" xfId="31"/>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256"/>
    <cellStyle name="Calc Currency (2)" xfId="77"/>
    <cellStyle name="Calc Currency (2) 2" xfId="257"/>
    <cellStyle name="Calc Percent (0)" xfId="78"/>
    <cellStyle name="Calc Percent (0) 2" xfId="258"/>
    <cellStyle name="Calc Percent (1)" xfId="79"/>
    <cellStyle name="Calc Percent (1) 2" xfId="259"/>
    <cellStyle name="Calc Percent (2)" xfId="80"/>
    <cellStyle name="Calc Percent (2) 2" xfId="260"/>
    <cellStyle name="Calc Units (0)" xfId="81"/>
    <cellStyle name="Calc Units (0) 2" xfId="261"/>
    <cellStyle name="Calc Units (1)" xfId="82"/>
    <cellStyle name="Calc Units (1) 2" xfId="262"/>
    <cellStyle name="Calc Units (2)" xfId="83"/>
    <cellStyle name="Calc Units (2) 2" xfId="263"/>
    <cellStyle name="Centered Heading" xfId="84"/>
    <cellStyle name="columns" xfId="85"/>
    <cellStyle name="Comma" xfId="1" builtinId="3"/>
    <cellStyle name="Comma  - Style1" xfId="264"/>
    <cellStyle name="Comma  - Style2" xfId="265"/>
    <cellStyle name="Comma  - Style3" xfId="266"/>
    <cellStyle name="Comma  - Style4" xfId="267"/>
    <cellStyle name="Comma  - Style5" xfId="268"/>
    <cellStyle name="Comma  - Style6" xfId="269"/>
    <cellStyle name="Comma  - Style7" xfId="270"/>
    <cellStyle name="Comma  - Style8" xfId="271"/>
    <cellStyle name="comma (0)" xfId="86"/>
    <cellStyle name="comma (0) 2" xfId="87"/>
    <cellStyle name="comma (0) 2 2" xfId="272"/>
    <cellStyle name="comma (0) 3" xfId="88"/>
    <cellStyle name="Comma [00]" xfId="89"/>
    <cellStyle name="Comma [00] 2" xfId="273"/>
    <cellStyle name="Comma 2" xfId="5"/>
    <cellStyle name="Comma 2 2" xfId="91"/>
    <cellStyle name="Comma 2 2 2" xfId="274"/>
    <cellStyle name="Comma 2 3" xfId="92"/>
    <cellStyle name="Comma 2 4" xfId="93"/>
    <cellStyle name="Comma 2 5" xfId="275"/>
    <cellStyle name="Comma 2 6" xfId="90"/>
    <cellStyle name="Comma 3" xfId="94"/>
    <cellStyle name="Comma 3 2" xfId="276"/>
    <cellStyle name="Comma 4" xfId="95"/>
    <cellStyle name="Comma 4 2" xfId="277"/>
    <cellStyle name="Comma 5" xfId="96"/>
    <cellStyle name="Comma 5 2" xfId="317"/>
    <cellStyle name="Comma Acctg" xfId="97"/>
    <cellStyle name="Comma Acctg 2" xfId="98"/>
    <cellStyle name="Comma0" xfId="99"/>
    <cellStyle name="Company Name" xfId="100"/>
    <cellStyle name="Contracts" xfId="101"/>
    <cellStyle name="CR Comma" xfId="102"/>
    <cellStyle name="CR Currency" xfId="103"/>
    <cellStyle name="curr" xfId="104"/>
    <cellStyle name="Currency [00]" xfId="105"/>
    <cellStyle name="Currency [00] 2" xfId="278"/>
    <cellStyle name="Currency 2" xfId="106"/>
    <cellStyle name="Currency Acctg" xfId="107"/>
    <cellStyle name="Currency0" xfId="108"/>
    <cellStyle name="Data" xfId="109"/>
    <cellStyle name="Date" xfId="110"/>
    <cellStyle name="Date Short" xfId="111"/>
    <cellStyle name="DateJoel" xfId="112"/>
    <cellStyle name="debbie" xfId="113"/>
    <cellStyle name="Dezimal [0]_laroux" xfId="114"/>
    <cellStyle name="Dezimal_laroux" xfId="115"/>
    <cellStyle name="Enter Currency (0)" xfId="116"/>
    <cellStyle name="Enter Currency (0) 2" xfId="279"/>
    <cellStyle name="Enter Currency (2)" xfId="117"/>
    <cellStyle name="Enter Currency (2) 2" xfId="280"/>
    <cellStyle name="Enter Units (0)" xfId="118"/>
    <cellStyle name="Enter Units (0) 2" xfId="281"/>
    <cellStyle name="Enter Units (1)" xfId="119"/>
    <cellStyle name="Enter Units (1) 2" xfId="282"/>
    <cellStyle name="Enter Units (2)" xfId="120"/>
    <cellStyle name="Enter Units (2) 2" xfId="283"/>
    <cellStyle name="eps" xfId="121"/>
    <cellStyle name="Euro" xfId="122"/>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Grey" xfId="123"/>
    <cellStyle name="Header1" xfId="124"/>
    <cellStyle name="Header2" xfId="125"/>
    <cellStyle name="Header2 10" xfId="126"/>
    <cellStyle name="Header2 11" xfId="127"/>
    <cellStyle name="Header2 12" xfId="128"/>
    <cellStyle name="Header2 13" xfId="129"/>
    <cellStyle name="Header2 14" xfId="130"/>
    <cellStyle name="Header2 15" xfId="131"/>
    <cellStyle name="Header2 16" xfId="132"/>
    <cellStyle name="Header2 17" xfId="133"/>
    <cellStyle name="Header2 18" xfId="134"/>
    <cellStyle name="Header2 19" xfId="135"/>
    <cellStyle name="Header2 2" xfId="136"/>
    <cellStyle name="Header2 20" xfId="137"/>
    <cellStyle name="Header2 21" xfId="138"/>
    <cellStyle name="Header2 22" xfId="139"/>
    <cellStyle name="Header2 23" xfId="140"/>
    <cellStyle name="Header2 24" xfId="141"/>
    <cellStyle name="Header2 25" xfId="142"/>
    <cellStyle name="Header2 26" xfId="143"/>
    <cellStyle name="Header2 27" xfId="144"/>
    <cellStyle name="Header2 28" xfId="145"/>
    <cellStyle name="Header2 29" xfId="146"/>
    <cellStyle name="Header2 3" xfId="147"/>
    <cellStyle name="Header2 30" xfId="148"/>
    <cellStyle name="Header2 31" xfId="149"/>
    <cellStyle name="Header2 32" xfId="150"/>
    <cellStyle name="Header2 33" xfId="151"/>
    <cellStyle name="Header2 34" xfId="152"/>
    <cellStyle name="Header2 35" xfId="153"/>
    <cellStyle name="Header2 36" xfId="154"/>
    <cellStyle name="Header2 37" xfId="155"/>
    <cellStyle name="Header2 38" xfId="156"/>
    <cellStyle name="Header2 39" xfId="157"/>
    <cellStyle name="Header2 4" xfId="158"/>
    <cellStyle name="Header2 40" xfId="159"/>
    <cellStyle name="Header2 41" xfId="160"/>
    <cellStyle name="Header2 42" xfId="161"/>
    <cellStyle name="Header2 5" xfId="162"/>
    <cellStyle name="Header2 6" xfId="163"/>
    <cellStyle name="Header2 7" xfId="164"/>
    <cellStyle name="Header2 8" xfId="165"/>
    <cellStyle name="Header2 9" xfId="166"/>
    <cellStyle name="Heading" xfId="167"/>
    <cellStyle name="Heading 1 2" xfId="168"/>
    <cellStyle name="Heading 1 3" xfId="169"/>
    <cellStyle name="Heading 1 4" xfId="170"/>
    <cellStyle name="Heading 2 2" xfId="171"/>
    <cellStyle name="Heading 2 3" xfId="172"/>
    <cellStyle name="Heading 2 4" xfId="173"/>
    <cellStyle name="Heading No Underline" xfId="174"/>
    <cellStyle name="Heading With Underline" xfId="175"/>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2" xfId="284"/>
    <cellStyle name="Hyperlink 2 2" xfId="319"/>
    <cellStyle name="Hyperlink 2 2 2" xfId="320"/>
    <cellStyle name="Hyperlink 3" xfId="285"/>
    <cellStyle name="Hyperlink 4" xfId="321"/>
    <cellStyle name="Input [yellow]" xfId="176"/>
    <cellStyle name="Link Currency (0)" xfId="177"/>
    <cellStyle name="Link Currency (0) 2" xfId="286"/>
    <cellStyle name="Link Currency (2)" xfId="178"/>
    <cellStyle name="Link Currency (2) 2" xfId="287"/>
    <cellStyle name="Link Units (0)" xfId="179"/>
    <cellStyle name="Link Units (0) 2" xfId="288"/>
    <cellStyle name="Link Units (1)" xfId="180"/>
    <cellStyle name="Link Units (1) 2" xfId="289"/>
    <cellStyle name="Link Units (2)" xfId="181"/>
    <cellStyle name="Link Units (2) 2" xfId="290"/>
    <cellStyle name="Millares [0]_pldt" xfId="182"/>
    <cellStyle name="Millares_pldt" xfId="183"/>
    <cellStyle name="Milliers [0]_AR1194" xfId="184"/>
    <cellStyle name="Milliers_AR1194" xfId="185"/>
    <cellStyle name="Moneda [0]_pldt" xfId="186"/>
    <cellStyle name="Moneda_pldt" xfId="187"/>
    <cellStyle name="Monétaire [0]_AR1194" xfId="188"/>
    <cellStyle name="Monétaire_AR1194" xfId="189"/>
    <cellStyle name="negativ" xfId="190"/>
    <cellStyle name="no dec" xfId="191"/>
    <cellStyle name="nodollars" xfId="192"/>
    <cellStyle name="nodollars 2" xfId="193"/>
    <cellStyle name="Normal" xfId="0" builtinId="0"/>
    <cellStyle name="Normal - Style1" xfId="194"/>
    <cellStyle name="Normal - Style1 2" xfId="291"/>
    <cellStyle name="Normal - Style2" xfId="292"/>
    <cellStyle name="Normal - Style3" xfId="293"/>
    <cellStyle name="Normal - Style4" xfId="294"/>
    <cellStyle name="Normal - Style5" xfId="295"/>
    <cellStyle name="Normal 10" xfId="322"/>
    <cellStyle name="Normal 2" xfId="3"/>
    <cellStyle name="Normal 2 2" xfId="196"/>
    <cellStyle name="Normal 2 2 2" xfId="197"/>
    <cellStyle name="Normal 2 3" xfId="198"/>
    <cellStyle name="Normal 2 3 2" xfId="296"/>
    <cellStyle name="Normal 2 4" xfId="199"/>
    <cellStyle name="Normal 2 5" xfId="297"/>
    <cellStyle name="Normal 2 6" xfId="323"/>
    <cellStyle name="Normal 2 7" xfId="324"/>
    <cellStyle name="Normal 2 8" xfId="195"/>
    <cellStyle name="Normal 3" xfId="4"/>
    <cellStyle name="Normal 3 2" xfId="298"/>
    <cellStyle name="Normal 3 3" xfId="299"/>
    <cellStyle name="Normal 3 4" xfId="200"/>
    <cellStyle name="Normal 4" xfId="201"/>
    <cellStyle name="Normal 5" xfId="6"/>
    <cellStyle name="Normal 5 2" xfId="300"/>
    <cellStyle name="Normal 6" xfId="202"/>
    <cellStyle name="Normal 6 2" xfId="301"/>
    <cellStyle name="Normal 6 3" xfId="302"/>
    <cellStyle name="Normal 7" xfId="203"/>
    <cellStyle name="Normal 7 2" xfId="303"/>
    <cellStyle name="Normal 8" xfId="204"/>
    <cellStyle name="Normal 8 2" xfId="304"/>
    <cellStyle name="Normal 8 3" xfId="316"/>
    <cellStyle name="Normal 9" xfId="325"/>
    <cellStyle name="Number0DecimalStyle" xfId="205"/>
    <cellStyle name="Number0DecimalStyle 2" xfId="253"/>
    <cellStyle name="Number10DecimalStyle" xfId="206"/>
    <cellStyle name="Number1DecimalStyle" xfId="207"/>
    <cellStyle name="Number2DecimalStyle" xfId="208"/>
    <cellStyle name="Number2DecimalStyle 2" xfId="254"/>
    <cellStyle name="Number3DecimalStyle" xfId="209"/>
    <cellStyle name="Number4DecimalStyle" xfId="210"/>
    <cellStyle name="Number5DecimalStyle" xfId="211"/>
    <cellStyle name="Number6DecimalStyle" xfId="212"/>
    <cellStyle name="Number7DecimalStyle" xfId="213"/>
    <cellStyle name="Number8DecimalStyle" xfId="214"/>
    <cellStyle name="Number9DecimalStyle" xfId="215"/>
    <cellStyle name="over" xfId="216"/>
    <cellStyle name="Percent" xfId="2" builtinId="5"/>
    <cellStyle name="percent (0)" xfId="217"/>
    <cellStyle name="Percent [0]" xfId="218"/>
    <cellStyle name="Percent [0] 2" xfId="305"/>
    <cellStyle name="Percent [00]" xfId="219"/>
    <cellStyle name="Percent [00] 2" xfId="306"/>
    <cellStyle name="Percent [2]" xfId="220"/>
    <cellStyle name="Percent 10" xfId="318"/>
    <cellStyle name="Percent 2" xfId="221"/>
    <cellStyle name="Percent 2 2" xfId="222"/>
    <cellStyle name="Percent 2 3" xfId="223"/>
    <cellStyle name="Percent 2 4" xfId="224"/>
    <cellStyle name="Percent 3" xfId="225"/>
    <cellStyle name="Percent 3 2" xfId="307"/>
    <cellStyle name="Percent 4" xfId="308"/>
    <cellStyle name="Percent 6" xfId="326"/>
    <cellStyle name="PERCENTAGE" xfId="226"/>
    <cellStyle name="posit" xfId="227"/>
    <cellStyle name="Powerpoint Style" xfId="228"/>
    <cellStyle name="PrePop Currency (0)" xfId="229"/>
    <cellStyle name="PrePop Currency (0) 2" xfId="309"/>
    <cellStyle name="PrePop Currency (2)" xfId="230"/>
    <cellStyle name="PrePop Currency (2) 2" xfId="310"/>
    <cellStyle name="PrePop Units (0)" xfId="231"/>
    <cellStyle name="PrePop Units (0) 2" xfId="311"/>
    <cellStyle name="PrePop Units (1)" xfId="232"/>
    <cellStyle name="PrePop Units (1) 2" xfId="312"/>
    <cellStyle name="PrePop Units (2)" xfId="233"/>
    <cellStyle name="PrePop Units (2) 2" xfId="313"/>
    <cellStyle name="SingleTopDoubleBott" xfId="234"/>
    <cellStyle name="Standard_A" xfId="235"/>
    <cellStyle name="Style 1" xfId="236"/>
    <cellStyle name="Style 2" xfId="237"/>
    <cellStyle name="Style 3" xfId="327"/>
    <cellStyle name="Style 4" xfId="328"/>
    <cellStyle name="Text Indent A" xfId="238"/>
    <cellStyle name="Text Indent B" xfId="239"/>
    <cellStyle name="Text Indent B 2" xfId="314"/>
    <cellStyle name="Text Indent C" xfId="240"/>
    <cellStyle name="Text Indent C 2" xfId="315"/>
    <cellStyle name="TextStyle" xfId="241"/>
    <cellStyle name="Tickmark" xfId="242"/>
    <cellStyle name="TimStyle" xfId="243"/>
    <cellStyle name="Total 2" xfId="244"/>
    <cellStyle name="Total 3" xfId="245"/>
    <cellStyle name="Total 4" xfId="246"/>
    <cellStyle name="Underline" xfId="247"/>
    <cellStyle name="UnderlineDouble" xfId="248"/>
    <cellStyle name="Währung [0]_RESULTS" xfId="249"/>
    <cellStyle name="Währung_RESULTS" xfId="250"/>
    <cellStyle name="표준_BINV" xfId="251"/>
    <cellStyle name="標準_99B-05PE_IC2"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21-4EFC-AAD3-C4056A0A7B99}"/>
            </c:ext>
          </c:extLst>
        </c:ser>
        <c:dLbls>
          <c:showLegendKey val="0"/>
          <c:showVal val="0"/>
          <c:showCatName val="0"/>
          <c:showSerName val="0"/>
          <c:showPercent val="0"/>
          <c:showBubbleSize val="0"/>
        </c:dLbls>
        <c:smooth val="0"/>
        <c:axId val="347418760"/>
        <c:axId val="347419152"/>
      </c:lineChart>
      <c:catAx>
        <c:axId val="347418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347419152"/>
        <c:crosses val="autoZero"/>
        <c:auto val="1"/>
        <c:lblAlgn val="ctr"/>
        <c:lblOffset val="100"/>
        <c:tickLblSkip val="7"/>
        <c:noMultiLvlLbl val="1"/>
      </c:catAx>
      <c:valAx>
        <c:axId val="347419152"/>
        <c:scaling>
          <c:orientation val="minMax"/>
        </c:scaling>
        <c:delete val="0"/>
        <c:axPos val="l"/>
        <c:majorGridlines/>
        <c:numFmt formatCode="0.0\x" sourceLinked="0"/>
        <c:majorTickMark val="out"/>
        <c:minorTickMark val="none"/>
        <c:tickLblPos val="nextTo"/>
        <c:crossAx val="347418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C4A-4712-9787-47F5870BB50C}"/>
            </c:ext>
          </c:extLst>
        </c:ser>
        <c:dLbls>
          <c:showLegendKey val="0"/>
          <c:showVal val="0"/>
          <c:showCatName val="0"/>
          <c:showSerName val="0"/>
          <c:showPercent val="0"/>
          <c:showBubbleSize val="0"/>
        </c:dLbls>
        <c:smooth val="0"/>
        <c:axId val="347419936"/>
        <c:axId val="19865552"/>
      </c:lineChart>
      <c:catAx>
        <c:axId val="347419936"/>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9865552"/>
        <c:crosses val="autoZero"/>
        <c:auto val="1"/>
        <c:lblAlgn val="ctr"/>
        <c:lblOffset val="100"/>
        <c:tickLblSkip val="7"/>
        <c:noMultiLvlLbl val="1"/>
      </c:catAx>
      <c:valAx>
        <c:axId val="19865552"/>
        <c:scaling>
          <c:orientation val="minMax"/>
        </c:scaling>
        <c:delete val="0"/>
        <c:axPos val="l"/>
        <c:majorGridlines/>
        <c:numFmt formatCode="0.0\x" sourceLinked="0"/>
        <c:majorTickMark val="out"/>
        <c:minorTickMark val="none"/>
        <c:tickLblPos val="nextTo"/>
        <c:crossAx val="34741993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77F-4015-B873-EB220D30F9CA}"/>
            </c:ext>
          </c:extLst>
        </c:ser>
        <c:dLbls>
          <c:showLegendKey val="0"/>
          <c:showVal val="0"/>
          <c:showCatName val="0"/>
          <c:showSerName val="0"/>
          <c:showPercent val="0"/>
          <c:showBubbleSize val="0"/>
        </c:dLbls>
        <c:smooth val="0"/>
        <c:axId val="19866336"/>
        <c:axId val="19866728"/>
      </c:lineChart>
      <c:catAx>
        <c:axId val="19866336"/>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9866728"/>
        <c:crosses val="autoZero"/>
        <c:auto val="1"/>
        <c:lblAlgn val="ctr"/>
        <c:lblOffset val="100"/>
        <c:tickLblSkip val="7"/>
        <c:noMultiLvlLbl val="1"/>
      </c:catAx>
      <c:valAx>
        <c:axId val="19866728"/>
        <c:scaling>
          <c:orientation val="minMax"/>
        </c:scaling>
        <c:delete val="0"/>
        <c:axPos val="l"/>
        <c:majorGridlines/>
        <c:numFmt formatCode="0.0\x" sourceLinked="0"/>
        <c:majorTickMark val="out"/>
        <c:minorTickMark val="none"/>
        <c:tickLblPos val="nextTo"/>
        <c:crossAx val="1986633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51</xdr:row>
      <xdr:rowOff>0</xdr:rowOff>
    </xdr:from>
    <xdr:to>
      <xdr:col>11</xdr:col>
      <xdr:colOff>718343</xdr:colOff>
      <xdr:row>51</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114</xdr:row>
      <xdr:rowOff>0</xdr:rowOff>
    </xdr:from>
    <xdr:to>
      <xdr:col>11</xdr:col>
      <xdr:colOff>718343</xdr:colOff>
      <xdr:row>114</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155</xdr:row>
      <xdr:rowOff>0</xdr:rowOff>
    </xdr:from>
    <xdr:to>
      <xdr:col>11</xdr:col>
      <xdr:colOff>718343</xdr:colOff>
      <xdr:row>155</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s Model"/>
      <sheetName val="BOTE"/>
      <sheetName val="Estimates by Analyst"/>
      <sheetName val="After Earnings"/>
      <sheetName val="Charts"/>
      <sheetName val="Terms of Use"/>
    </sheetNames>
    <sheetDataSet>
      <sheetData sheetId="0"/>
      <sheetData sheetId="1"/>
      <sheetData sheetId="2">
        <row r="6">
          <cell r="B6" t="str">
            <v>Raymond James</v>
          </cell>
          <cell r="C6" t="str">
            <v>TAVIS C MCCOURT</v>
          </cell>
          <cell r="D6" t="str">
            <v>market perform</v>
          </cell>
          <cell r="E6">
            <v>42209</v>
          </cell>
          <cell r="F6">
            <v>0</v>
          </cell>
          <cell r="G6">
            <v>14314</v>
          </cell>
          <cell r="H6">
            <v>10550</v>
          </cell>
          <cell r="I6">
            <v>50163</v>
          </cell>
          <cell r="J6">
            <v>13914</v>
          </cell>
          <cell r="K6">
            <v>1.84</v>
          </cell>
          <cell r="L6">
            <v>33.299999999999997</v>
          </cell>
          <cell r="M6">
            <v>-146185</v>
          </cell>
        </row>
        <row r="7">
          <cell r="B7" t="str">
            <v>Exane BNP Paribas</v>
          </cell>
          <cell r="C7" t="str">
            <v>ALEXANDER PETERC</v>
          </cell>
          <cell r="D7" t="str">
            <v>outperform</v>
          </cell>
          <cell r="E7">
            <v>42209</v>
          </cell>
          <cell r="F7">
            <v>150</v>
          </cell>
          <cell r="G7">
            <v>0</v>
          </cell>
          <cell r="H7">
            <v>0</v>
          </cell>
          <cell r="I7">
            <v>0</v>
          </cell>
          <cell r="J7">
            <v>0</v>
          </cell>
          <cell r="K7">
            <v>0</v>
          </cell>
          <cell r="L7">
            <v>0</v>
          </cell>
          <cell r="M7">
            <v>0</v>
          </cell>
        </row>
        <row r="8">
          <cell r="B8" t="str">
            <v>Morgan Stanley</v>
          </cell>
          <cell r="C8" t="str">
            <v>KATHRYN HUBERTY</v>
          </cell>
          <cell r="D8" t="str">
            <v>Overwt/Cautious</v>
          </cell>
          <cell r="E8">
            <v>42208</v>
          </cell>
          <cell r="F8">
            <v>155</v>
          </cell>
          <cell r="G8">
            <v>0</v>
          </cell>
          <cell r="H8">
            <v>0</v>
          </cell>
          <cell r="I8">
            <v>0</v>
          </cell>
          <cell r="J8">
            <v>0</v>
          </cell>
          <cell r="K8">
            <v>0</v>
          </cell>
          <cell r="L8">
            <v>0</v>
          </cell>
          <cell r="M8">
            <v>0</v>
          </cell>
        </row>
        <row r="9">
          <cell r="B9" t="str">
            <v>BMO Capital Markets</v>
          </cell>
          <cell r="C9" t="str">
            <v>KEITH F BACHMAN</v>
          </cell>
          <cell r="D9" t="str">
            <v>outperform</v>
          </cell>
          <cell r="E9">
            <v>42207</v>
          </cell>
          <cell r="F9">
            <v>145</v>
          </cell>
          <cell r="G9">
            <v>0</v>
          </cell>
          <cell r="H9">
            <v>0</v>
          </cell>
          <cell r="I9">
            <v>0</v>
          </cell>
          <cell r="J9">
            <v>0</v>
          </cell>
          <cell r="K9">
            <v>0</v>
          </cell>
          <cell r="L9">
            <v>0</v>
          </cell>
          <cell r="M9">
            <v>0</v>
          </cell>
        </row>
        <row r="10">
          <cell r="B10" t="str">
            <v>Societe Generale</v>
          </cell>
          <cell r="C10" t="str">
            <v>ANDY PERKINS</v>
          </cell>
          <cell r="D10" t="str">
            <v>buy</v>
          </cell>
          <cell r="E10">
            <v>42207</v>
          </cell>
          <cell r="F10">
            <v>140</v>
          </cell>
          <cell r="G10">
            <v>14395</v>
          </cell>
          <cell r="H10">
            <v>10652</v>
          </cell>
          <cell r="I10">
            <v>49101</v>
          </cell>
          <cell r="J10">
            <v>0</v>
          </cell>
          <cell r="K10">
            <v>1.87</v>
          </cell>
          <cell r="L10">
            <v>0</v>
          </cell>
          <cell r="M10">
            <v>0</v>
          </cell>
        </row>
        <row r="11">
          <cell r="B11" t="str">
            <v>ABG Sundal Collier</v>
          </cell>
          <cell r="C11" t="str">
            <v>PER LINDBERG</v>
          </cell>
          <cell r="D11" t="str">
            <v>sell</v>
          </cell>
          <cell r="E11">
            <v>42207</v>
          </cell>
          <cell r="F11">
            <v>65</v>
          </cell>
          <cell r="G11">
            <v>0</v>
          </cell>
          <cell r="H11">
            <v>0</v>
          </cell>
          <cell r="I11">
            <v>0</v>
          </cell>
          <cell r="J11">
            <v>0</v>
          </cell>
          <cell r="K11">
            <v>0</v>
          </cell>
          <cell r="L11">
            <v>0</v>
          </cell>
          <cell r="M11">
            <v>0</v>
          </cell>
        </row>
        <row r="12">
          <cell r="B12" t="str">
            <v>RBC Capital Markets</v>
          </cell>
          <cell r="C12" t="str">
            <v>AMIT DARYANANI</v>
          </cell>
          <cell r="D12" t="str">
            <v>outperform</v>
          </cell>
          <cell r="E12">
            <v>42207</v>
          </cell>
          <cell r="F12">
            <v>150</v>
          </cell>
          <cell r="G12">
            <v>0</v>
          </cell>
          <cell r="H12">
            <v>0</v>
          </cell>
          <cell r="I12">
            <v>0</v>
          </cell>
          <cell r="J12">
            <v>0</v>
          </cell>
          <cell r="K12">
            <v>0</v>
          </cell>
          <cell r="L12">
            <v>0</v>
          </cell>
          <cell r="M12">
            <v>0</v>
          </cell>
        </row>
        <row r="13">
          <cell r="B13" t="str">
            <v>Argus Research Corp</v>
          </cell>
          <cell r="C13" t="str">
            <v>JAMES KELLEHER</v>
          </cell>
          <cell r="D13" t="str">
            <v>buy</v>
          </cell>
          <cell r="E13">
            <v>42207</v>
          </cell>
          <cell r="F13">
            <v>145</v>
          </cell>
          <cell r="G13">
            <v>0</v>
          </cell>
          <cell r="H13">
            <v>0</v>
          </cell>
          <cell r="I13">
            <v>51300</v>
          </cell>
          <cell r="J13">
            <v>0</v>
          </cell>
          <cell r="K13">
            <v>1.81</v>
          </cell>
          <cell r="L13">
            <v>0</v>
          </cell>
          <cell r="M13">
            <v>0</v>
          </cell>
        </row>
        <row r="14">
          <cell r="B14" t="str">
            <v>Brean Capital LLC</v>
          </cell>
          <cell r="C14" t="str">
            <v>ANANDA BARUAH</v>
          </cell>
          <cell r="D14" t="str">
            <v>buy</v>
          </cell>
          <cell r="E14">
            <v>42207</v>
          </cell>
          <cell r="F14">
            <v>170</v>
          </cell>
          <cell r="G14">
            <v>14482</v>
          </cell>
          <cell r="H14">
            <v>10934</v>
          </cell>
          <cell r="I14">
            <v>51300</v>
          </cell>
          <cell r="J14">
            <v>0</v>
          </cell>
          <cell r="K14">
            <v>1.91</v>
          </cell>
          <cell r="L14">
            <v>0</v>
          </cell>
          <cell r="M14">
            <v>0</v>
          </cell>
        </row>
        <row r="15">
          <cell r="B15" t="str">
            <v>Credit Suisse</v>
          </cell>
          <cell r="C15" t="str">
            <v>KULBINDER GARCHA</v>
          </cell>
          <cell r="D15" t="str">
            <v>outperform</v>
          </cell>
          <cell r="E15">
            <v>42207</v>
          </cell>
          <cell r="F15">
            <v>145</v>
          </cell>
          <cell r="G15">
            <v>0</v>
          </cell>
          <cell r="H15">
            <v>0</v>
          </cell>
          <cell r="I15">
            <v>0</v>
          </cell>
          <cell r="J15">
            <v>0</v>
          </cell>
          <cell r="K15">
            <v>0</v>
          </cell>
          <cell r="L15">
            <v>0</v>
          </cell>
          <cell r="M15">
            <v>0</v>
          </cell>
        </row>
        <row r="16">
          <cell r="B16" t="str">
            <v>Hilliard Lyons</v>
          </cell>
          <cell r="C16" t="str">
            <v>STEPHEN TURNER</v>
          </cell>
          <cell r="D16" t="str">
            <v>long-term buy</v>
          </cell>
          <cell r="E16">
            <v>42207</v>
          </cell>
          <cell r="F16">
            <v>154</v>
          </cell>
          <cell r="G16">
            <v>14643</v>
          </cell>
          <cell r="H16">
            <v>10792</v>
          </cell>
          <cell r="I16">
            <v>51383</v>
          </cell>
          <cell r="J16">
            <v>0</v>
          </cell>
          <cell r="K16">
            <v>1.9</v>
          </cell>
          <cell r="L16">
            <v>0</v>
          </cell>
          <cell r="M16">
            <v>0</v>
          </cell>
        </row>
        <row r="17">
          <cell r="B17" t="str">
            <v>JPMorgan</v>
          </cell>
          <cell r="C17" t="str">
            <v>ROD HALL</v>
          </cell>
          <cell r="D17" t="str">
            <v>overweight</v>
          </cell>
          <cell r="E17">
            <v>42207</v>
          </cell>
          <cell r="F17">
            <v>145</v>
          </cell>
          <cell r="G17">
            <v>0</v>
          </cell>
          <cell r="H17">
            <v>0</v>
          </cell>
          <cell r="I17">
            <v>0</v>
          </cell>
          <cell r="J17">
            <v>0</v>
          </cell>
          <cell r="K17">
            <v>0</v>
          </cell>
          <cell r="L17">
            <v>0</v>
          </cell>
          <cell r="M17">
            <v>0</v>
          </cell>
        </row>
        <row r="18">
          <cell r="B18" t="str">
            <v>Jefferies</v>
          </cell>
          <cell r="C18" t="str">
            <v>SUNDEEP BAJIKAR</v>
          </cell>
          <cell r="D18" t="str">
            <v>hold</v>
          </cell>
          <cell r="E18">
            <v>42207</v>
          </cell>
          <cell r="F18">
            <v>135</v>
          </cell>
          <cell r="G18">
            <v>14046</v>
          </cell>
          <cell r="H18">
            <v>10352</v>
          </cell>
          <cell r="I18">
            <v>50185</v>
          </cell>
          <cell r="J18">
            <v>13816</v>
          </cell>
          <cell r="K18">
            <v>1.81</v>
          </cell>
          <cell r="L18">
            <v>0</v>
          </cell>
          <cell r="M18">
            <v>0</v>
          </cell>
        </row>
        <row r="19">
          <cell r="B19" t="str">
            <v>Robert W. Baird &amp; Co</v>
          </cell>
          <cell r="C19" t="str">
            <v>WILLIAM V POWER</v>
          </cell>
          <cell r="D19" t="str">
            <v>outperform</v>
          </cell>
          <cell r="E19">
            <v>42207</v>
          </cell>
          <cell r="F19">
            <v>155</v>
          </cell>
          <cell r="G19">
            <v>0</v>
          </cell>
          <cell r="H19">
            <v>0</v>
          </cell>
          <cell r="I19">
            <v>0</v>
          </cell>
          <cell r="J19">
            <v>0</v>
          </cell>
          <cell r="K19">
            <v>0</v>
          </cell>
          <cell r="L19">
            <v>0</v>
          </cell>
          <cell r="M19">
            <v>0</v>
          </cell>
        </row>
        <row r="20">
          <cell r="B20" t="str">
            <v>FBR Capital Markets</v>
          </cell>
          <cell r="C20" t="str">
            <v>DANIEL H IVES</v>
          </cell>
          <cell r="D20" t="str">
            <v>outperform</v>
          </cell>
          <cell r="E20">
            <v>42207</v>
          </cell>
          <cell r="F20">
            <v>175</v>
          </cell>
          <cell r="G20">
            <v>14400</v>
          </cell>
          <cell r="H20">
            <v>10400</v>
          </cell>
          <cell r="I20">
            <v>50900</v>
          </cell>
          <cell r="J20">
            <v>0</v>
          </cell>
          <cell r="K20">
            <v>1.89</v>
          </cell>
          <cell r="L20">
            <v>0</v>
          </cell>
          <cell r="M20">
            <v>0</v>
          </cell>
        </row>
        <row r="21">
          <cell r="B21" t="str">
            <v>Macquarie</v>
          </cell>
          <cell r="C21" t="str">
            <v>BENJAMIN A SCHACHTER</v>
          </cell>
          <cell r="D21" t="str">
            <v>outperform</v>
          </cell>
          <cell r="E21">
            <v>42207</v>
          </cell>
          <cell r="F21">
            <v>140</v>
          </cell>
          <cell r="G21">
            <v>0</v>
          </cell>
          <cell r="H21">
            <v>0</v>
          </cell>
          <cell r="I21">
            <v>0</v>
          </cell>
          <cell r="J21">
            <v>0</v>
          </cell>
          <cell r="K21">
            <v>0</v>
          </cell>
          <cell r="L21">
            <v>0</v>
          </cell>
          <cell r="M21">
            <v>0</v>
          </cell>
        </row>
        <row r="22">
          <cell r="B22" t="str">
            <v>Cantor Fitzgerald</v>
          </cell>
          <cell r="C22" t="str">
            <v>BRIAN J WHITE</v>
          </cell>
          <cell r="D22" t="str">
            <v>buy</v>
          </cell>
          <cell r="E22">
            <v>42207</v>
          </cell>
          <cell r="F22">
            <v>195</v>
          </cell>
          <cell r="G22">
            <v>0</v>
          </cell>
          <cell r="H22">
            <v>0</v>
          </cell>
          <cell r="I22">
            <v>0</v>
          </cell>
          <cell r="J22">
            <v>0</v>
          </cell>
          <cell r="K22">
            <v>0</v>
          </cell>
          <cell r="L22">
            <v>0</v>
          </cell>
          <cell r="M22">
            <v>0</v>
          </cell>
        </row>
        <row r="23">
          <cell r="B23" t="str">
            <v>Stifel</v>
          </cell>
          <cell r="C23" t="str">
            <v>AARON C RAKERS</v>
          </cell>
          <cell r="D23" t="str">
            <v>buy</v>
          </cell>
          <cell r="E23">
            <v>42207</v>
          </cell>
          <cell r="F23">
            <v>150</v>
          </cell>
          <cell r="G23">
            <v>14315</v>
          </cell>
          <cell r="H23">
            <v>10550</v>
          </cell>
          <cell r="I23">
            <v>50235</v>
          </cell>
          <cell r="J23">
            <v>13915</v>
          </cell>
          <cell r="K23">
            <v>1.85</v>
          </cell>
          <cell r="L23">
            <v>0</v>
          </cell>
          <cell r="M23">
            <v>0</v>
          </cell>
        </row>
        <row r="24">
          <cell r="B24" t="str">
            <v>Berenberg</v>
          </cell>
          <cell r="C24" t="str">
            <v>ADNAAN AHMAD</v>
          </cell>
          <cell r="D24" t="str">
            <v>sell</v>
          </cell>
          <cell r="E24">
            <v>42207</v>
          </cell>
          <cell r="F24">
            <v>85</v>
          </cell>
          <cell r="G24">
            <v>0</v>
          </cell>
          <cell r="H24">
            <v>0</v>
          </cell>
          <cell r="I24">
            <v>0</v>
          </cell>
          <cell r="J24">
            <v>0</v>
          </cell>
          <cell r="K24">
            <v>0</v>
          </cell>
          <cell r="L24">
            <v>0</v>
          </cell>
          <cell r="M24">
            <v>0</v>
          </cell>
        </row>
        <row r="25">
          <cell r="B25" t="str">
            <v>Oppenheimer &amp; Co</v>
          </cell>
          <cell r="C25" t="str">
            <v>ANDREW UERKWITZ</v>
          </cell>
          <cell r="D25" t="str">
            <v>outperform</v>
          </cell>
          <cell r="E25">
            <v>42207</v>
          </cell>
          <cell r="F25">
            <v>155</v>
          </cell>
          <cell r="G25">
            <v>14469</v>
          </cell>
          <cell r="H25">
            <v>11600</v>
          </cell>
          <cell r="I25">
            <v>51071</v>
          </cell>
          <cell r="J25">
            <v>0</v>
          </cell>
          <cell r="K25">
            <v>2.0299999999999998</v>
          </cell>
          <cell r="L25">
            <v>33.9</v>
          </cell>
          <cell r="M25">
            <v>0</v>
          </cell>
        </row>
        <row r="26">
          <cell r="B26" t="str">
            <v>Wells Fargo Securities</v>
          </cell>
          <cell r="C26" t="str">
            <v>MAYNARD UM</v>
          </cell>
          <cell r="D26" t="str">
            <v>market perform</v>
          </cell>
          <cell r="E26">
            <v>42207</v>
          </cell>
          <cell r="F26">
            <v>0</v>
          </cell>
          <cell r="G26">
            <v>0</v>
          </cell>
          <cell r="H26">
            <v>0</v>
          </cell>
          <cell r="I26">
            <v>0</v>
          </cell>
          <cell r="J26">
            <v>0</v>
          </cell>
          <cell r="K26">
            <v>0</v>
          </cell>
          <cell r="L26">
            <v>0</v>
          </cell>
          <cell r="M26">
            <v>0</v>
          </cell>
        </row>
        <row r="27">
          <cell r="B27" t="str">
            <v>Cowen and Company</v>
          </cell>
          <cell r="C27" t="str">
            <v>TIMOTHY M ARCURI</v>
          </cell>
          <cell r="D27" t="str">
            <v>market perform</v>
          </cell>
          <cell r="E27">
            <v>42207</v>
          </cell>
          <cell r="F27">
            <v>130</v>
          </cell>
          <cell r="G27">
            <v>0</v>
          </cell>
          <cell r="H27">
            <v>0</v>
          </cell>
          <cell r="I27">
            <v>0</v>
          </cell>
          <cell r="J27">
            <v>0</v>
          </cell>
          <cell r="K27">
            <v>0</v>
          </cell>
          <cell r="L27">
            <v>0</v>
          </cell>
          <cell r="M27">
            <v>0</v>
          </cell>
        </row>
        <row r="28">
          <cell r="B28" t="str">
            <v>JMP Securities</v>
          </cell>
          <cell r="C28" t="str">
            <v>ALEX GAUNA</v>
          </cell>
          <cell r="D28" t="str">
            <v>market outperform</v>
          </cell>
          <cell r="E28">
            <v>42207</v>
          </cell>
          <cell r="F28">
            <v>150</v>
          </cell>
          <cell r="G28">
            <v>0</v>
          </cell>
          <cell r="H28">
            <v>0</v>
          </cell>
          <cell r="I28">
            <v>0</v>
          </cell>
          <cell r="J28">
            <v>0</v>
          </cell>
          <cell r="K28">
            <v>0</v>
          </cell>
          <cell r="L28">
            <v>0</v>
          </cell>
          <cell r="M28">
            <v>0</v>
          </cell>
        </row>
        <row r="29">
          <cell r="B29" t="str">
            <v>Maxim Group LLC</v>
          </cell>
          <cell r="C29" t="str">
            <v>NEHAL CHOKSHI</v>
          </cell>
          <cell r="D29" t="str">
            <v>hold</v>
          </cell>
          <cell r="E29">
            <v>42207</v>
          </cell>
          <cell r="F29">
            <v>144</v>
          </cell>
          <cell r="G29">
            <v>13770</v>
          </cell>
          <cell r="H29">
            <v>10158</v>
          </cell>
          <cell r="I29">
            <v>50070</v>
          </cell>
          <cell r="J29">
            <v>13459</v>
          </cell>
          <cell r="K29">
            <v>1.77</v>
          </cell>
          <cell r="L29">
            <v>0</v>
          </cell>
          <cell r="M29">
            <v>-142758</v>
          </cell>
        </row>
        <row r="30">
          <cell r="B30" t="str">
            <v>Susquehanna Financial Group</v>
          </cell>
          <cell r="C30" t="str">
            <v>CHRISTOPHER CASO</v>
          </cell>
          <cell r="D30" t="str">
            <v>Positive</v>
          </cell>
          <cell r="E30">
            <v>42207</v>
          </cell>
          <cell r="F30">
            <v>155</v>
          </cell>
          <cell r="G30">
            <v>14056</v>
          </cell>
          <cell r="H30">
            <v>10366</v>
          </cell>
          <cell r="I30">
            <v>50087</v>
          </cell>
          <cell r="J30">
            <v>0</v>
          </cell>
          <cell r="K30">
            <v>1.8</v>
          </cell>
          <cell r="L30">
            <v>0</v>
          </cell>
          <cell r="M30">
            <v>0</v>
          </cell>
        </row>
        <row r="31">
          <cell r="B31" t="str">
            <v>Atlantic Equities LLP</v>
          </cell>
          <cell r="C31" t="str">
            <v>JAMES CORDWELL</v>
          </cell>
          <cell r="D31" t="str">
            <v>overweight</v>
          </cell>
          <cell r="E31">
            <v>42207</v>
          </cell>
          <cell r="F31">
            <v>150</v>
          </cell>
          <cell r="G31">
            <v>14523</v>
          </cell>
          <cell r="H31">
            <v>10704</v>
          </cell>
          <cell r="I31">
            <v>51212</v>
          </cell>
          <cell r="J31">
            <v>0</v>
          </cell>
          <cell r="K31">
            <v>1.87</v>
          </cell>
          <cell r="L31">
            <v>0</v>
          </cell>
          <cell r="M31">
            <v>0</v>
          </cell>
        </row>
        <row r="32">
          <cell r="B32" t="str">
            <v>Cross Research</v>
          </cell>
          <cell r="C32" t="str">
            <v>SHANNON S CROSS</v>
          </cell>
          <cell r="D32" t="str">
            <v>buy</v>
          </cell>
          <cell r="E32">
            <v>42207</v>
          </cell>
          <cell r="F32">
            <v>150</v>
          </cell>
          <cell r="G32">
            <v>14485</v>
          </cell>
          <cell r="H32">
            <v>10647</v>
          </cell>
          <cell r="I32">
            <v>50514</v>
          </cell>
          <cell r="J32">
            <v>0</v>
          </cell>
          <cell r="K32">
            <v>1.86</v>
          </cell>
          <cell r="L32">
            <v>0</v>
          </cell>
          <cell r="M32">
            <v>0</v>
          </cell>
        </row>
        <row r="33">
          <cell r="B33" t="str">
            <v>Piper Jaffray</v>
          </cell>
          <cell r="C33" t="str">
            <v>EUGENE E MUNSTER</v>
          </cell>
          <cell r="D33" t="str">
            <v>overweight</v>
          </cell>
          <cell r="E33">
            <v>42207</v>
          </cell>
          <cell r="F33">
            <v>172</v>
          </cell>
          <cell r="G33">
            <v>0</v>
          </cell>
          <cell r="H33">
            <v>0</v>
          </cell>
          <cell r="I33">
            <v>0</v>
          </cell>
          <cell r="J33">
            <v>0</v>
          </cell>
          <cell r="K33">
            <v>0</v>
          </cell>
          <cell r="L33">
            <v>0</v>
          </cell>
          <cell r="M33">
            <v>0</v>
          </cell>
        </row>
        <row r="34">
          <cell r="B34" t="str">
            <v>FBN Securities</v>
          </cell>
          <cell r="C34" t="str">
            <v>SHEBLY SEYRAFI</v>
          </cell>
          <cell r="D34" t="str">
            <v>outperform</v>
          </cell>
          <cell r="E34">
            <v>42207</v>
          </cell>
          <cell r="F34">
            <v>150</v>
          </cell>
          <cell r="G34">
            <v>14745</v>
          </cell>
          <cell r="H34">
            <v>10867</v>
          </cell>
          <cell r="I34">
            <v>51554</v>
          </cell>
          <cell r="J34">
            <v>0</v>
          </cell>
          <cell r="K34">
            <v>1.9</v>
          </cell>
          <cell r="L34">
            <v>29.2</v>
          </cell>
          <cell r="M34">
            <v>-160538</v>
          </cell>
        </row>
        <row r="35">
          <cell r="B35" t="str">
            <v>Pacific Crest Securities</v>
          </cell>
          <cell r="C35" t="str">
            <v>ANDY HARGREAVES</v>
          </cell>
          <cell r="D35" t="str">
            <v>sector weight</v>
          </cell>
          <cell r="E35">
            <v>42206</v>
          </cell>
          <cell r="F35">
            <v>0</v>
          </cell>
          <cell r="G35">
            <v>0</v>
          </cell>
          <cell r="H35">
            <v>0</v>
          </cell>
          <cell r="I35">
            <v>0</v>
          </cell>
          <cell r="J35">
            <v>0</v>
          </cell>
          <cell r="K35">
            <v>0</v>
          </cell>
          <cell r="L35">
            <v>0</v>
          </cell>
          <cell r="M35">
            <v>0</v>
          </cell>
        </row>
        <row r="36">
          <cell r="B36" t="str">
            <v>William Blair &amp; Co</v>
          </cell>
          <cell r="C36" t="str">
            <v>ANIL K DORADLA</v>
          </cell>
          <cell r="D36" t="str">
            <v>outperform</v>
          </cell>
          <cell r="E36">
            <v>42206</v>
          </cell>
          <cell r="F36">
            <v>0</v>
          </cell>
          <cell r="G36">
            <v>14190</v>
          </cell>
          <cell r="H36">
            <v>10458</v>
          </cell>
          <cell r="I36">
            <v>50511</v>
          </cell>
          <cell r="J36">
            <v>0</v>
          </cell>
          <cell r="K36">
            <v>1.82</v>
          </cell>
          <cell r="L36">
            <v>0</v>
          </cell>
          <cell r="M36">
            <v>0</v>
          </cell>
        </row>
        <row r="37">
          <cell r="B37" t="str">
            <v>Canaccord Genuity Corp</v>
          </cell>
          <cell r="C37" t="str">
            <v>T MICHAEL WALKLEY</v>
          </cell>
          <cell r="D37" t="str">
            <v>buy</v>
          </cell>
          <cell r="E37">
            <v>42206</v>
          </cell>
          <cell r="F37">
            <v>155</v>
          </cell>
          <cell r="G37">
            <v>0</v>
          </cell>
          <cell r="H37">
            <v>0</v>
          </cell>
          <cell r="I37">
            <v>0</v>
          </cell>
          <cell r="J37">
            <v>0</v>
          </cell>
          <cell r="K37">
            <v>0</v>
          </cell>
          <cell r="L37">
            <v>0</v>
          </cell>
          <cell r="M37">
            <v>0</v>
          </cell>
        </row>
        <row r="38">
          <cell r="B38" t="str">
            <v>BGC Partners</v>
          </cell>
          <cell r="C38" t="str">
            <v>COLIN W GILLIS</v>
          </cell>
          <cell r="D38" t="str">
            <v>hold</v>
          </cell>
          <cell r="E38">
            <v>42206</v>
          </cell>
          <cell r="F38">
            <v>115</v>
          </cell>
          <cell r="G38">
            <v>14341</v>
          </cell>
          <cell r="H38">
            <v>10584</v>
          </cell>
          <cell r="I38">
            <v>51811</v>
          </cell>
          <cell r="J38">
            <v>0</v>
          </cell>
          <cell r="K38">
            <v>1.84</v>
          </cell>
          <cell r="L38">
            <v>0</v>
          </cell>
          <cell r="M38">
            <v>0</v>
          </cell>
        </row>
        <row r="39">
          <cell r="B39" t="str">
            <v>BTIG LLC</v>
          </cell>
          <cell r="C39" t="str">
            <v>WALTER P PIECYK JR</v>
          </cell>
          <cell r="D39" t="str">
            <v>buy</v>
          </cell>
          <cell r="E39">
            <v>42206</v>
          </cell>
          <cell r="F39">
            <v>160</v>
          </cell>
          <cell r="G39">
            <v>14761</v>
          </cell>
          <cell r="H39">
            <v>10879</v>
          </cell>
          <cell r="I39">
            <v>51168</v>
          </cell>
          <cell r="J39">
            <v>0</v>
          </cell>
          <cell r="K39">
            <v>1.92</v>
          </cell>
          <cell r="L39">
            <v>0</v>
          </cell>
          <cell r="M39">
            <v>-145107</v>
          </cell>
        </row>
        <row r="40">
          <cell r="B40" t="str">
            <v>Edward Jones</v>
          </cell>
          <cell r="C40" t="str">
            <v>WILLIAM C KREHER</v>
          </cell>
          <cell r="D40" t="str">
            <v>hold</v>
          </cell>
          <cell r="E40">
            <v>42179</v>
          </cell>
          <cell r="F40">
            <v>0</v>
          </cell>
          <cell r="G40">
            <v>0</v>
          </cell>
          <cell r="H40">
            <v>0</v>
          </cell>
          <cell r="I40">
            <v>0</v>
          </cell>
          <cell r="J40">
            <v>0</v>
          </cell>
          <cell r="K40">
            <v>0</v>
          </cell>
          <cell r="L40">
            <v>0</v>
          </cell>
          <cell r="M40">
            <v>0</v>
          </cell>
        </row>
        <row r="41">
          <cell r="B41" t="str">
            <v>EVA Dimensions</v>
          </cell>
          <cell r="C41" t="str">
            <v>AUSTIN BURKETT</v>
          </cell>
          <cell r="D41" t="str">
            <v>hold</v>
          </cell>
          <cell r="E41">
            <v>42160</v>
          </cell>
          <cell r="F41">
            <v>0</v>
          </cell>
          <cell r="G41">
            <v>0</v>
          </cell>
          <cell r="H41">
            <v>0</v>
          </cell>
          <cell r="I41">
            <v>0</v>
          </cell>
          <cell r="J41">
            <v>0</v>
          </cell>
          <cell r="K41">
            <v>0</v>
          </cell>
          <cell r="L41">
            <v>0</v>
          </cell>
          <cell r="M41">
            <v>0</v>
          </cell>
        </row>
        <row r="42">
          <cell r="B42" t="str">
            <v>Ameriprise Advisor Services, Inc</v>
          </cell>
          <cell r="C42" t="str">
            <v>JUSTIN H BURGIN</v>
          </cell>
          <cell r="D42" t="str">
            <v>buy</v>
          </cell>
          <cell r="E42">
            <v>42131</v>
          </cell>
          <cell r="F42">
            <v>0</v>
          </cell>
          <cell r="G42">
            <v>0</v>
          </cell>
          <cell r="H42">
            <v>0</v>
          </cell>
          <cell r="I42">
            <v>0</v>
          </cell>
          <cell r="J42">
            <v>0</v>
          </cell>
          <cell r="K42">
            <v>0</v>
          </cell>
          <cell r="L42">
            <v>0</v>
          </cell>
          <cell r="M42">
            <v>0</v>
          </cell>
        </row>
        <row r="43">
          <cell r="B43" t="str">
            <v>Daiwa Securities Co. Ltd.</v>
          </cell>
          <cell r="C43" t="str">
            <v>YOKO YAMADA</v>
          </cell>
          <cell r="D43" t="str">
            <v>outperform</v>
          </cell>
          <cell r="E43">
            <v>42125</v>
          </cell>
          <cell r="F43">
            <v>137</v>
          </cell>
          <cell r="G43">
            <v>0</v>
          </cell>
          <cell r="H43">
            <v>0</v>
          </cell>
          <cell r="I43">
            <v>0</v>
          </cell>
          <cell r="J43">
            <v>0</v>
          </cell>
          <cell r="K43">
            <v>0</v>
          </cell>
          <cell r="L43">
            <v>0</v>
          </cell>
          <cell r="M43">
            <v>0</v>
          </cell>
        </row>
        <row r="44">
          <cell r="B44" t="str">
            <v>First Shanghai Securities Ltd</v>
          </cell>
          <cell r="C44" t="str">
            <v>TSOI HO</v>
          </cell>
          <cell r="D44" t="str">
            <v>buy</v>
          </cell>
          <cell r="E44">
            <v>42124</v>
          </cell>
          <cell r="F44">
            <v>165</v>
          </cell>
          <cell r="G44">
            <v>0</v>
          </cell>
          <cell r="H44">
            <v>0</v>
          </cell>
          <cell r="I44">
            <v>0</v>
          </cell>
          <cell r="J44">
            <v>0</v>
          </cell>
          <cell r="K44">
            <v>0</v>
          </cell>
          <cell r="L44">
            <v>0</v>
          </cell>
          <cell r="M44">
            <v>0</v>
          </cell>
        </row>
        <row r="45">
          <cell r="B45" t="str">
            <v>Goldman Sachs</v>
          </cell>
          <cell r="C45" t="str">
            <v>BILL SHOPE</v>
          </cell>
          <cell r="D45" t="str">
            <v>Buy/Cautious</v>
          </cell>
          <cell r="E45">
            <v>42122</v>
          </cell>
          <cell r="F45">
            <v>163</v>
          </cell>
          <cell r="G45">
            <v>0</v>
          </cell>
          <cell r="H45">
            <v>0</v>
          </cell>
          <cell r="I45">
            <v>0</v>
          </cell>
          <cell r="J45">
            <v>0</v>
          </cell>
          <cell r="K45">
            <v>0</v>
          </cell>
          <cell r="L45">
            <v>0</v>
          </cell>
          <cell r="M45">
            <v>0</v>
          </cell>
        </row>
        <row r="46">
          <cell r="B46" t="str">
            <v>Hamburger Sparkasse</v>
          </cell>
          <cell r="C46" t="str">
            <v>MARCO GUENTHER</v>
          </cell>
          <cell r="D46" t="str">
            <v>neutral</v>
          </cell>
          <cell r="E46">
            <v>42122</v>
          </cell>
          <cell r="F46">
            <v>0</v>
          </cell>
          <cell r="G46">
            <v>0</v>
          </cell>
          <cell r="H46">
            <v>0</v>
          </cell>
          <cell r="I46">
            <v>0</v>
          </cell>
          <cell r="J46">
            <v>0</v>
          </cell>
          <cell r="K46">
            <v>0</v>
          </cell>
          <cell r="L46">
            <v>0</v>
          </cell>
          <cell r="M46">
            <v>0</v>
          </cell>
        </row>
        <row r="47">
          <cell r="B47" t="str">
            <v>UBS</v>
          </cell>
          <cell r="C47" t="str">
            <v>STEVEN M MILUNOVICH</v>
          </cell>
          <cell r="D47" t="str">
            <v>buy</v>
          </cell>
          <cell r="E47">
            <v>42048</v>
          </cell>
          <cell r="F47">
            <v>150</v>
          </cell>
          <cell r="G47">
            <v>0</v>
          </cell>
          <cell r="H47">
            <v>0</v>
          </cell>
          <cell r="I47">
            <v>0</v>
          </cell>
          <cell r="J47">
            <v>0</v>
          </cell>
          <cell r="K47">
            <v>0</v>
          </cell>
          <cell r="L47">
            <v>0</v>
          </cell>
          <cell r="M47">
            <v>0</v>
          </cell>
        </row>
        <row r="48">
          <cell r="B48" t="str">
            <v>Accountability Research Corp</v>
          </cell>
          <cell r="C48" t="str">
            <v>KEVIN CHU</v>
          </cell>
          <cell r="D48" t="str">
            <v>buy</v>
          </cell>
          <cell r="E48">
            <v>42040</v>
          </cell>
          <cell r="F48">
            <v>139</v>
          </cell>
          <cell r="G48">
            <v>0</v>
          </cell>
          <cell r="H48">
            <v>0</v>
          </cell>
          <cell r="I48">
            <v>0</v>
          </cell>
          <cell r="J48">
            <v>0</v>
          </cell>
          <cell r="K48">
            <v>0</v>
          </cell>
          <cell r="L48">
            <v>0</v>
          </cell>
          <cell r="M48">
            <v>0</v>
          </cell>
        </row>
        <row r="49">
          <cell r="B49" t="str">
            <v>Scotia Capital</v>
          </cell>
          <cell r="C49" t="str">
            <v>DANIEL CHAN</v>
          </cell>
          <cell r="D49" t="str">
            <v>suspended coverage</v>
          </cell>
          <cell r="E49">
            <v>41913</v>
          </cell>
          <cell r="F49">
            <v>0</v>
          </cell>
          <cell r="G49">
            <v>0</v>
          </cell>
          <cell r="H49">
            <v>0</v>
          </cell>
          <cell r="I49">
            <v>0</v>
          </cell>
          <cell r="J49">
            <v>0</v>
          </cell>
          <cell r="K49">
            <v>1.57</v>
          </cell>
          <cell r="L49">
            <v>0</v>
          </cell>
          <cell r="M49">
            <v>0</v>
          </cell>
        </row>
        <row r="50">
          <cell r="B50" t="str">
            <v>Erste Group</v>
          </cell>
          <cell r="C50" t="str">
            <v>HANS ENGEL</v>
          </cell>
          <cell r="D50" t="str">
            <v>buy</v>
          </cell>
          <cell r="E50">
            <v>41842</v>
          </cell>
          <cell r="F50">
            <v>0</v>
          </cell>
          <cell r="G50">
            <v>0</v>
          </cell>
          <cell r="H50">
            <v>0</v>
          </cell>
          <cell r="I50">
            <v>0</v>
          </cell>
          <cell r="J50">
            <v>0</v>
          </cell>
          <cell r="K50">
            <v>0</v>
          </cell>
          <cell r="L50">
            <v>0</v>
          </cell>
          <cell r="M50">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38"/>
  <sheetViews>
    <sheetView showGridLines="0" tabSelected="1" zoomScale="90" zoomScaleNormal="90" zoomScalePageLayoutView="85" workbookViewId="0">
      <selection activeCell="B2" sqref="B2:C2"/>
    </sheetView>
  </sheetViews>
  <sheetFormatPr defaultColWidth="8.88671875" defaultRowHeight="14.4" outlineLevelRow="1" outlineLevelCol="1" x14ac:dyDescent="0.3"/>
  <cols>
    <col min="1" max="1" width="0.6640625" customWidth="1"/>
    <col min="2" max="2" width="33.6640625" customWidth="1"/>
    <col min="3" max="3" width="19.88671875" style="8" customWidth="1"/>
    <col min="4" max="4" width="11.33203125" style="149" hidden="1" customWidth="1" outlineLevel="1"/>
    <col min="5" max="7" width="11.44140625" style="149" hidden="1" customWidth="1" outlineLevel="1"/>
    <col min="8" max="8" width="11.44140625" style="149" customWidth="1" collapsed="1"/>
    <col min="9" max="10" width="11.44140625" style="149" hidden="1" customWidth="1" outlineLevel="1"/>
    <col min="11" max="12" width="11.44140625" style="150" hidden="1" customWidth="1" outlineLevel="1"/>
    <col min="13" max="13" width="11.44140625" style="150" customWidth="1" collapsed="1"/>
    <col min="14" max="15" width="11.44140625" style="149" customWidth="1" outlineLevel="1"/>
    <col min="16" max="17" width="11.44140625" style="2" customWidth="1" outlineLevel="1"/>
    <col min="18" max="18" width="11.44140625" style="2" customWidth="1"/>
    <col min="19" max="20" width="11.44140625" style="1" customWidth="1" outlineLevel="1"/>
    <col min="21" max="22" width="11.44140625" style="2" customWidth="1" outlineLevel="1"/>
    <col min="23" max="23" width="11.44140625" style="2" customWidth="1"/>
    <col min="24" max="24" width="4.33203125" customWidth="1"/>
    <col min="25" max="25" width="16.109375" customWidth="1"/>
  </cols>
  <sheetData>
    <row r="1" spans="1:30" s="51" customFormat="1" ht="1.95" customHeight="1" x14ac:dyDescent="0.3">
      <c r="A1" s="107"/>
      <c r="C1" s="52"/>
      <c r="D1" s="149"/>
      <c r="E1" s="149"/>
      <c r="F1" s="149"/>
      <c r="G1" s="149"/>
      <c r="H1" s="149"/>
      <c r="I1" s="149"/>
      <c r="J1" s="149"/>
      <c r="K1" s="150"/>
      <c r="L1" s="150"/>
      <c r="M1" s="150"/>
      <c r="N1" s="149"/>
      <c r="O1" s="149"/>
      <c r="P1" s="2"/>
      <c r="Q1" s="2"/>
      <c r="R1" s="2"/>
      <c r="S1" s="1"/>
      <c r="T1" s="1"/>
      <c r="U1" s="2"/>
      <c r="V1" s="2"/>
      <c r="W1" s="2"/>
      <c r="AD1" s="107" t="s">
        <v>86</v>
      </c>
    </row>
    <row r="2" spans="1:30" ht="46.35" customHeight="1" x14ac:dyDescent="0.3">
      <c r="B2" s="352" t="s">
        <v>85</v>
      </c>
      <c r="C2" s="353"/>
    </row>
    <row r="3" spans="1:30" x14ac:dyDescent="0.3">
      <c r="B3" s="354" t="s">
        <v>225</v>
      </c>
      <c r="C3" s="355"/>
    </row>
    <row r="4" spans="1:30" x14ac:dyDescent="0.3">
      <c r="B4" s="356" t="s">
        <v>227</v>
      </c>
      <c r="C4" s="357"/>
      <c r="D4" s="151"/>
    </row>
    <row r="5" spans="1:30" s="67" customFormat="1" x14ac:dyDescent="0.3">
      <c r="A5"/>
      <c r="B5" s="358" t="s">
        <v>228</v>
      </c>
      <c r="C5" s="359"/>
      <c r="D5" s="151"/>
      <c r="E5" s="149"/>
      <c r="F5" s="149"/>
      <c r="G5" s="149"/>
      <c r="H5" s="149"/>
      <c r="I5" s="149"/>
      <c r="J5" s="149"/>
      <c r="K5" s="149"/>
      <c r="L5" s="149"/>
      <c r="M5" s="150"/>
      <c r="N5" s="245"/>
      <c r="O5" s="151"/>
      <c r="P5" s="14"/>
      <c r="Q5" s="14"/>
      <c r="R5" s="14"/>
      <c r="S5" s="14"/>
      <c r="T5" s="14"/>
      <c r="U5" s="14"/>
      <c r="V5" s="14"/>
      <c r="W5" s="14"/>
    </row>
    <row r="6" spans="1:30" x14ac:dyDescent="0.3">
      <c r="B6" s="104" t="s">
        <v>220</v>
      </c>
      <c r="C6" s="380">
        <f>C211</f>
        <v>11.751514108546827</v>
      </c>
      <c r="K6" s="149"/>
      <c r="L6" s="149"/>
      <c r="P6" s="9"/>
      <c r="Q6" s="9"/>
      <c r="R6" s="9"/>
      <c r="S6" s="9"/>
      <c r="T6" s="9"/>
      <c r="U6" s="9"/>
      <c r="V6" s="9"/>
      <c r="W6" s="9"/>
    </row>
    <row r="7" spans="1:30" s="51" customFormat="1" x14ac:dyDescent="0.3">
      <c r="B7" s="58" t="s">
        <v>77</v>
      </c>
      <c r="C7" s="281" t="str">
        <f>TEXT(C220,"$0")&amp;" to "&amp;TEXT(C219,"$0")</f>
        <v>$9 to $15</v>
      </c>
      <c r="D7" s="149"/>
      <c r="E7" s="149"/>
      <c r="F7" s="149"/>
      <c r="G7" s="149"/>
      <c r="H7" s="149"/>
      <c r="I7" s="149"/>
      <c r="J7" s="149"/>
      <c r="K7" s="149"/>
      <c r="L7" s="149"/>
      <c r="M7" s="150"/>
      <c r="N7" s="149"/>
      <c r="O7" s="149"/>
      <c r="P7" s="9"/>
      <c r="Q7" s="9"/>
      <c r="R7" s="105"/>
      <c r="S7" s="9"/>
      <c r="T7" s="9"/>
      <c r="U7" s="9"/>
      <c r="V7" s="9"/>
      <c r="W7" s="9"/>
    </row>
    <row r="8" spans="1:30" ht="4.5" customHeight="1" x14ac:dyDescent="0.3">
      <c r="C8" s="16"/>
      <c r="D8" s="151"/>
      <c r="E8" s="151"/>
      <c r="F8" s="151"/>
      <c r="G8" s="151"/>
      <c r="H8" s="151"/>
      <c r="I8" s="151"/>
      <c r="J8" s="151"/>
      <c r="K8" s="151"/>
      <c r="L8" s="152"/>
      <c r="M8" s="13"/>
      <c r="N8" s="152"/>
      <c r="O8" s="152"/>
      <c r="P8" s="12"/>
      <c r="Q8" s="14"/>
      <c r="R8" s="14"/>
      <c r="S8" s="12"/>
      <c r="T8" s="12"/>
      <c r="U8" s="12"/>
      <c r="V8" s="14"/>
      <c r="W8" s="14"/>
    </row>
    <row r="9" spans="1:30" ht="15.6" x14ac:dyDescent="0.3">
      <c r="B9" s="332" t="s">
        <v>146</v>
      </c>
      <c r="C9" s="333"/>
      <c r="D9" s="153" t="s">
        <v>3</v>
      </c>
      <c r="E9" s="153" t="s">
        <v>2</v>
      </c>
      <c r="F9" s="153" t="s">
        <v>1</v>
      </c>
      <c r="G9" s="153" t="s">
        <v>4</v>
      </c>
      <c r="H9" s="153" t="s">
        <v>4</v>
      </c>
      <c r="I9" s="153" t="s">
        <v>5</v>
      </c>
      <c r="J9" s="153" t="s">
        <v>6</v>
      </c>
      <c r="K9" s="153" t="s">
        <v>7</v>
      </c>
      <c r="L9" s="153" t="s">
        <v>9</v>
      </c>
      <c r="M9" s="153" t="s">
        <v>9</v>
      </c>
      <c r="N9" s="153" t="s">
        <v>10</v>
      </c>
      <c r="O9" s="153" t="s">
        <v>11</v>
      </c>
      <c r="P9" s="153" t="s">
        <v>12</v>
      </c>
      <c r="Q9" s="43" t="s">
        <v>8</v>
      </c>
      <c r="R9" s="43" t="s">
        <v>8</v>
      </c>
      <c r="S9" s="43" t="s">
        <v>13</v>
      </c>
      <c r="T9" s="43" t="s">
        <v>14</v>
      </c>
      <c r="U9" s="43" t="s">
        <v>15</v>
      </c>
      <c r="V9" s="43" t="s">
        <v>16</v>
      </c>
      <c r="W9" s="61" t="s">
        <v>16</v>
      </c>
    </row>
    <row r="10" spans="1:30" ht="16.2" x14ac:dyDescent="0.45">
      <c r="B10" s="336" t="s">
        <v>197</v>
      </c>
      <c r="C10" s="337"/>
      <c r="D10" s="154" t="s">
        <v>29</v>
      </c>
      <c r="E10" s="154" t="s">
        <v>30</v>
      </c>
      <c r="F10" s="154" t="s">
        <v>31</v>
      </c>
      <c r="G10" s="154" t="s">
        <v>32</v>
      </c>
      <c r="H10" s="154" t="s">
        <v>23</v>
      </c>
      <c r="I10" s="154" t="s">
        <v>33</v>
      </c>
      <c r="J10" s="154" t="s">
        <v>34</v>
      </c>
      <c r="K10" s="154" t="s">
        <v>40</v>
      </c>
      <c r="L10" s="154" t="s">
        <v>75</v>
      </c>
      <c r="M10" s="154" t="s">
        <v>76</v>
      </c>
      <c r="N10" s="154" t="s">
        <v>130</v>
      </c>
      <c r="O10" s="154" t="s">
        <v>131</v>
      </c>
      <c r="P10" s="154" t="s">
        <v>226</v>
      </c>
      <c r="Q10" s="44" t="s">
        <v>35</v>
      </c>
      <c r="R10" s="44" t="s">
        <v>24</v>
      </c>
      <c r="S10" s="44" t="s">
        <v>36</v>
      </c>
      <c r="T10" s="44" t="s">
        <v>37</v>
      </c>
      <c r="U10" s="44" t="s">
        <v>38</v>
      </c>
      <c r="V10" s="44" t="s">
        <v>39</v>
      </c>
      <c r="W10" s="62" t="s">
        <v>25</v>
      </c>
    </row>
    <row r="11" spans="1:30" s="52" customFormat="1" x14ac:dyDescent="0.3">
      <c r="B11" s="346" t="s">
        <v>133</v>
      </c>
      <c r="C11" s="347"/>
      <c r="D11" s="155">
        <v>137014</v>
      </c>
      <c r="E11" s="156">
        <v>172894</v>
      </c>
      <c r="F11" s="156">
        <v>191560</v>
      </c>
      <c r="G11" s="157">
        <v>206331</v>
      </c>
      <c r="H11" s="158">
        <f>SUM(D11:G11)</f>
        <v>707799</v>
      </c>
      <c r="I11" s="155">
        <v>211110</v>
      </c>
      <c r="J11" s="159">
        <v>259864</v>
      </c>
      <c r="K11" s="159">
        <v>280955</v>
      </c>
      <c r="L11" s="159">
        <v>298516</v>
      </c>
      <c r="M11" s="158">
        <f>SUM(I11:L11)</f>
        <v>1050445</v>
      </c>
      <c r="N11" s="159">
        <v>300453</v>
      </c>
      <c r="O11" s="159">
        <v>364864</v>
      </c>
      <c r="P11" s="159">
        <v>388347</v>
      </c>
      <c r="Q11" s="159">
        <f>Q56</f>
        <v>399559.67999999999</v>
      </c>
      <c r="R11" s="305">
        <f>SUM(N11:Q11)</f>
        <v>1453223.68</v>
      </c>
      <c r="S11" s="159">
        <f>S56</f>
        <v>407550.87359999999</v>
      </c>
      <c r="T11" s="159">
        <f t="shared" ref="T11:V11" si="0">T56</f>
        <v>468683.50464</v>
      </c>
      <c r="U11" s="159">
        <f t="shared" si="0"/>
        <v>492117.67987200001</v>
      </c>
      <c r="V11" s="159">
        <f t="shared" si="0"/>
        <v>506881.21026816004</v>
      </c>
      <c r="W11" s="158">
        <f>SUM(S11:V11)</f>
        <v>1875233.2683801602</v>
      </c>
    </row>
    <row r="12" spans="1:30" s="52" customFormat="1" x14ac:dyDescent="0.3">
      <c r="B12" s="140" t="s">
        <v>132</v>
      </c>
      <c r="C12" s="141"/>
      <c r="D12" s="155">
        <v>26466</v>
      </c>
      <c r="E12" s="156">
        <v>30147</v>
      </c>
      <c r="F12" s="156">
        <v>29895</v>
      </c>
      <c r="G12" s="157">
        <v>36516</v>
      </c>
      <c r="H12" s="158">
        <f t="shared" ref="H12:H20" si="1">SUM(D12:G12)</f>
        <v>123024</v>
      </c>
      <c r="I12" s="155">
        <v>29237</v>
      </c>
      <c r="J12" s="159">
        <v>33630</v>
      </c>
      <c r="K12" s="159">
        <v>32332</v>
      </c>
      <c r="L12" s="159">
        <v>47084</v>
      </c>
      <c r="M12" s="158">
        <f t="shared" ref="M12:M20" si="2">SUM(I12:L12)</f>
        <v>142283</v>
      </c>
      <c r="N12" s="159">
        <v>38838</v>
      </c>
      <c r="O12" s="159">
        <v>32867</v>
      </c>
      <c r="P12" s="159">
        <v>7164</v>
      </c>
      <c r="Q12" s="159">
        <f>Q57</f>
        <v>0</v>
      </c>
      <c r="R12" s="305">
        <f t="shared" ref="R12:R13" si="3">SUM(N12:Q12)</f>
        <v>78869</v>
      </c>
      <c r="S12" s="159">
        <f>S57</f>
        <v>0</v>
      </c>
      <c r="T12" s="159">
        <f t="shared" ref="T12:V12" si="4">T57</f>
        <v>0</v>
      </c>
      <c r="U12" s="159">
        <f t="shared" si="4"/>
        <v>0</v>
      </c>
      <c r="V12" s="159">
        <f t="shared" si="4"/>
        <v>0</v>
      </c>
      <c r="W12" s="158">
        <f t="shared" ref="W12:W14" si="5">SUM(S12:V12)</f>
        <v>0</v>
      </c>
    </row>
    <row r="13" spans="1:30" s="52" customFormat="1" x14ac:dyDescent="0.3">
      <c r="B13" s="140" t="s">
        <v>134</v>
      </c>
      <c r="C13" s="141"/>
      <c r="D13" s="155">
        <v>523</v>
      </c>
      <c r="E13" s="156">
        <v>1766</v>
      </c>
      <c r="F13" s="156">
        <v>3733</v>
      </c>
      <c r="G13" s="157">
        <v>6024</v>
      </c>
      <c r="H13" s="158">
        <f t="shared" si="1"/>
        <v>12046</v>
      </c>
      <c r="I13" s="155">
        <v>8006</v>
      </c>
      <c r="J13" s="159">
        <v>12928</v>
      </c>
      <c r="K13" s="159">
        <v>14694</v>
      </c>
      <c r="L13" s="159">
        <v>22385</v>
      </c>
      <c r="M13" s="158">
        <f t="shared" si="2"/>
        <v>58013</v>
      </c>
      <c r="N13" s="159">
        <v>23796</v>
      </c>
      <c r="O13" s="159">
        <v>29717</v>
      </c>
      <c r="P13" s="159">
        <v>35320</v>
      </c>
      <c r="Q13" s="159">
        <f>Q59</f>
        <v>37086</v>
      </c>
      <c r="R13" s="305">
        <f t="shared" si="3"/>
        <v>125919</v>
      </c>
      <c r="S13" s="159">
        <f>S59</f>
        <v>39311.160000000003</v>
      </c>
      <c r="T13" s="159">
        <f t="shared" ref="T13:U13" si="6">T59</f>
        <v>47173.392</v>
      </c>
      <c r="U13" s="159">
        <f t="shared" si="6"/>
        <v>51890.731200000002</v>
      </c>
      <c r="V13" s="159">
        <f>V59</f>
        <v>57079.80432000001</v>
      </c>
      <c r="W13" s="158">
        <f t="shared" si="5"/>
        <v>195455.08752</v>
      </c>
    </row>
    <row r="14" spans="1:30" s="52" customFormat="1" ht="16.2" x14ac:dyDescent="0.45">
      <c r="B14" s="140" t="s">
        <v>135</v>
      </c>
      <c r="C14" s="141"/>
      <c r="D14" s="160">
        <v>1079</v>
      </c>
      <c r="E14" s="161">
        <v>1989</v>
      </c>
      <c r="F14" s="161">
        <v>2232</v>
      </c>
      <c r="G14" s="162">
        <v>2023</v>
      </c>
      <c r="H14" s="163">
        <f t="shared" si="1"/>
        <v>7323</v>
      </c>
      <c r="I14" s="160">
        <v>2204</v>
      </c>
      <c r="J14" s="164">
        <v>3591</v>
      </c>
      <c r="K14" s="164">
        <v>4207</v>
      </c>
      <c r="L14" s="164">
        <v>6375</v>
      </c>
      <c r="M14" s="163">
        <f t="shared" si="2"/>
        <v>16377</v>
      </c>
      <c r="N14" s="164">
        <v>16182</v>
      </c>
      <c r="O14" s="164">
        <v>11085</v>
      </c>
      <c r="P14" s="164">
        <v>8171</v>
      </c>
      <c r="Q14" s="164">
        <f>Q61</f>
        <v>6046.54</v>
      </c>
      <c r="R14" s="306">
        <f>SUM(N14:Q14)</f>
        <v>41484.54</v>
      </c>
      <c r="S14" s="164">
        <f>S61</f>
        <v>5441.8860000000004</v>
      </c>
      <c r="T14" s="164">
        <f t="shared" ref="T14:V14" si="7">T61</f>
        <v>5006.5351200000005</v>
      </c>
      <c r="U14" s="164">
        <f t="shared" si="7"/>
        <v>4606.0123104000004</v>
      </c>
      <c r="V14" s="164">
        <f t="shared" si="7"/>
        <v>4237.5313255680003</v>
      </c>
      <c r="W14" s="163">
        <f t="shared" si="5"/>
        <v>19291.964755968002</v>
      </c>
    </row>
    <row r="15" spans="1:30" s="52" customFormat="1" x14ac:dyDescent="0.3">
      <c r="B15" s="142" t="s">
        <v>136</v>
      </c>
      <c r="C15" s="141"/>
      <c r="D15" s="166">
        <f t="shared" ref="D15:F15" si="8">SUM(D11:D14)</f>
        <v>165082</v>
      </c>
      <c r="E15" s="166">
        <f t="shared" si="8"/>
        <v>206796</v>
      </c>
      <c r="F15" s="166">
        <f t="shared" si="8"/>
        <v>227420</v>
      </c>
      <c r="G15" s="167">
        <f>SUM(G11:G14)</f>
        <v>250894</v>
      </c>
      <c r="H15" s="168">
        <f t="shared" si="1"/>
        <v>850192</v>
      </c>
      <c r="I15" s="165">
        <f>SUM(I11:I14)</f>
        <v>250557</v>
      </c>
      <c r="J15" s="169">
        <f>SUM(J11:J14)</f>
        <v>310013</v>
      </c>
      <c r="K15" s="169">
        <f>SUM(K11:K14)</f>
        <v>332188</v>
      </c>
      <c r="L15" s="169">
        <f>SUM(L11:L14)</f>
        <v>374360</v>
      </c>
      <c r="M15" s="168">
        <f t="shared" si="2"/>
        <v>1267118</v>
      </c>
      <c r="N15" s="169">
        <f>SUM(N11:N14)</f>
        <v>379269</v>
      </c>
      <c r="O15" s="169">
        <f>SUM(O11:O14)</f>
        <v>438533</v>
      </c>
      <c r="P15" s="169">
        <f>SUM(P11:P14)</f>
        <v>439002</v>
      </c>
      <c r="Q15" s="274">
        <f>SUM(Q11:Q14)</f>
        <v>442692.22</v>
      </c>
      <c r="R15" s="253">
        <f>SUM(N15:Q15)</f>
        <v>1699496.22</v>
      </c>
      <c r="S15" s="274">
        <f>SUM(S11:S14)</f>
        <v>452303.91959999996</v>
      </c>
      <c r="T15" s="169">
        <f t="shared" ref="T15:V15" si="9">SUM(T11:T14)</f>
        <v>520863.43176000001</v>
      </c>
      <c r="U15" s="169">
        <f t="shared" si="9"/>
        <v>548614.42338240007</v>
      </c>
      <c r="V15" s="169">
        <f t="shared" si="9"/>
        <v>568198.54591372807</v>
      </c>
      <c r="W15" s="275">
        <f>SUM(S15:V15)</f>
        <v>2089980.3206561282</v>
      </c>
    </row>
    <row r="16" spans="1:30" s="52" customFormat="1" x14ac:dyDescent="0.3">
      <c r="B16" s="140" t="s">
        <v>138</v>
      </c>
      <c r="C16" s="141"/>
      <c r="D16" s="155">
        <v>86275</v>
      </c>
      <c r="E16" s="156">
        <v>109801</v>
      </c>
      <c r="F16" s="156">
        <v>122425</v>
      </c>
      <c r="G16" s="157">
        <v>132357</v>
      </c>
      <c r="H16" s="158">
        <f t="shared" si="1"/>
        <v>450858</v>
      </c>
      <c r="I16" s="155">
        <v>132107</v>
      </c>
      <c r="J16" s="159">
        <v>165823</v>
      </c>
      <c r="K16" s="159">
        <v>182007</v>
      </c>
      <c r="L16" s="159">
        <v>192730</v>
      </c>
      <c r="M16" s="158">
        <f t="shared" si="2"/>
        <v>672667</v>
      </c>
      <c r="N16" s="159">
        <v>194276</v>
      </c>
      <c r="O16" s="159">
        <v>234857</v>
      </c>
      <c r="P16" s="159">
        <v>254061</v>
      </c>
      <c r="Q16" s="159">
        <f t="shared" ref="Q16:Q18" si="10">-(Q11*Q65)+Q11</f>
        <v>259713.79200000002</v>
      </c>
      <c r="R16" s="158">
        <f>SUM(N16:Q16)</f>
        <v>942907.79200000002</v>
      </c>
      <c r="S16" s="159">
        <f>-(S11*S65)+S11</f>
        <v>260832.55910400001</v>
      </c>
      <c r="T16" s="159">
        <f t="shared" ref="T16:V16" si="11">-(T11*T65)+T11</f>
        <v>304644.278016</v>
      </c>
      <c r="U16" s="159">
        <f t="shared" si="11"/>
        <v>319876.49191680003</v>
      </c>
      <c r="V16" s="159">
        <f t="shared" si="11"/>
        <v>329472.78667430405</v>
      </c>
      <c r="W16" s="158">
        <f>SUM(S16:V16)</f>
        <v>1214826.1157111041</v>
      </c>
    </row>
    <row r="17" spans="2:24" s="52" customFormat="1" x14ac:dyDescent="0.3">
      <c r="B17" s="140" t="s">
        <v>176</v>
      </c>
      <c r="C17" s="141"/>
      <c r="D17" s="155">
        <v>33016</v>
      </c>
      <c r="E17" s="156">
        <v>37496</v>
      </c>
      <c r="F17" s="156">
        <v>37377</v>
      </c>
      <c r="G17" s="157">
        <v>43066</v>
      </c>
      <c r="H17" s="158">
        <f t="shared" si="1"/>
        <v>150955</v>
      </c>
      <c r="I17" s="155">
        <v>36211</v>
      </c>
      <c r="J17" s="159">
        <v>40921</v>
      </c>
      <c r="K17" s="159">
        <v>41410</v>
      </c>
      <c r="L17" s="159">
        <v>46896</v>
      </c>
      <c r="M17" s="158">
        <f t="shared" si="2"/>
        <v>165438</v>
      </c>
      <c r="N17" s="159">
        <v>36610</v>
      </c>
      <c r="O17" s="159">
        <v>28672</v>
      </c>
      <c r="P17" s="159">
        <v>4528</v>
      </c>
      <c r="Q17" s="159">
        <f t="shared" si="10"/>
        <v>0</v>
      </c>
      <c r="R17" s="158">
        <f t="shared" ref="R17:R20" si="12">SUM(N17:Q17)</f>
        <v>69810</v>
      </c>
      <c r="S17" s="159">
        <f>-(S12*S66)+S12</f>
        <v>0</v>
      </c>
      <c r="T17" s="159">
        <f t="shared" ref="T17:V18" si="13">-(T12*T66)+T12</f>
        <v>0</v>
      </c>
      <c r="U17" s="159">
        <f t="shared" si="13"/>
        <v>0</v>
      </c>
      <c r="V17" s="159">
        <f t="shared" si="13"/>
        <v>0</v>
      </c>
      <c r="W17" s="158">
        <f t="shared" ref="W17:W20" si="14">SUM(S17:V17)</f>
        <v>0</v>
      </c>
    </row>
    <row r="18" spans="2:24" s="52" customFormat="1" x14ac:dyDescent="0.3">
      <c r="B18" s="140" t="s">
        <v>139</v>
      </c>
      <c r="C18" s="141"/>
      <c r="D18" s="155">
        <v>14</v>
      </c>
      <c r="E18" s="156">
        <v>31</v>
      </c>
      <c r="F18" s="156">
        <v>987</v>
      </c>
      <c r="G18" s="157">
        <v>1941</v>
      </c>
      <c r="H18" s="158">
        <f t="shared" si="1"/>
        <v>2973</v>
      </c>
      <c r="I18" s="155">
        <v>3155</v>
      </c>
      <c r="J18" s="159">
        <v>5072</v>
      </c>
      <c r="K18" s="159">
        <v>5593</v>
      </c>
      <c r="L18" s="159">
        <v>8650</v>
      </c>
      <c r="M18" s="158">
        <f t="shared" si="2"/>
        <v>22470</v>
      </c>
      <c r="N18" s="159">
        <v>9033</v>
      </c>
      <c r="O18" s="159">
        <v>10144</v>
      </c>
      <c r="P18" s="159">
        <v>12524</v>
      </c>
      <c r="Q18" s="159">
        <f t="shared" si="10"/>
        <v>13150.2</v>
      </c>
      <c r="R18" s="158">
        <f t="shared" si="12"/>
        <v>44851.199999999997</v>
      </c>
      <c r="S18" s="159">
        <f>-(S13*S67)+S13</f>
        <v>13939.212</v>
      </c>
      <c r="T18" s="159">
        <f t="shared" si="13"/>
        <v>16727.054400000001</v>
      </c>
      <c r="U18" s="159">
        <f t="shared" si="13"/>
        <v>18399.759839999999</v>
      </c>
      <c r="V18" s="159">
        <f t="shared" si="13"/>
        <v>20239.735824000003</v>
      </c>
      <c r="W18" s="158">
        <f t="shared" si="14"/>
        <v>69305.76206400001</v>
      </c>
    </row>
    <row r="19" spans="2:24" s="52" customFormat="1" x14ac:dyDescent="0.3">
      <c r="B19" s="140" t="s">
        <v>140</v>
      </c>
      <c r="C19" s="141"/>
      <c r="D19" s="155">
        <v>3441</v>
      </c>
      <c r="E19" s="156">
        <v>4924</v>
      </c>
      <c r="F19" s="156">
        <v>5162</v>
      </c>
      <c r="G19" s="157">
        <v>4803</v>
      </c>
      <c r="H19" s="158">
        <f t="shared" si="1"/>
        <v>18330</v>
      </c>
      <c r="I19" s="155">
        <v>4197</v>
      </c>
      <c r="J19" s="159">
        <v>6713</v>
      </c>
      <c r="K19" s="159">
        <v>5726</v>
      </c>
      <c r="L19" s="159">
        <v>14238</v>
      </c>
      <c r="M19" s="158">
        <f t="shared" si="2"/>
        <v>30874</v>
      </c>
      <c r="N19" s="159">
        <v>26740</v>
      </c>
      <c r="O19" s="159">
        <v>14015</v>
      </c>
      <c r="P19" s="159">
        <v>15689</v>
      </c>
      <c r="Q19" s="159">
        <f t="shared" ref="Q19" si="15">-(Q14*Q68)+Q14</f>
        <v>11609.86</v>
      </c>
      <c r="R19" s="158">
        <f t="shared" si="12"/>
        <v>68053.86</v>
      </c>
      <c r="S19" s="159">
        <f t="shared" ref="S19:T19" si="16">-(S14*S68)+S14</f>
        <v>10448.874</v>
      </c>
      <c r="T19" s="159">
        <f t="shared" si="16"/>
        <v>9612.9640800000016</v>
      </c>
      <c r="U19" s="159">
        <f t="shared" ref="U19:V19" si="17">-(U14*U68)+U14</f>
        <v>8843.9269535999993</v>
      </c>
      <c r="V19" s="159">
        <f t="shared" si="17"/>
        <v>8136.4127973120003</v>
      </c>
      <c r="W19" s="158">
        <f t="shared" si="14"/>
        <v>37042.177830911998</v>
      </c>
    </row>
    <row r="20" spans="2:24" s="52" customFormat="1" x14ac:dyDescent="0.3">
      <c r="B20" s="140" t="s">
        <v>141</v>
      </c>
      <c r="C20" s="141"/>
      <c r="D20" s="155">
        <v>80</v>
      </c>
      <c r="E20" s="156">
        <v>192</v>
      </c>
      <c r="F20" s="156">
        <v>330</v>
      </c>
      <c r="G20" s="157">
        <v>400</v>
      </c>
      <c r="H20" s="158">
        <f t="shared" si="1"/>
        <v>1002</v>
      </c>
      <c r="I20" s="155">
        <v>602</v>
      </c>
      <c r="J20" s="159">
        <v>1142</v>
      </c>
      <c r="K20" s="159">
        <v>1142</v>
      </c>
      <c r="L20" s="159">
        <v>2753</v>
      </c>
      <c r="M20" s="158">
        <f t="shared" si="2"/>
        <v>5639</v>
      </c>
      <c r="N20" s="159">
        <v>2370</v>
      </c>
      <c r="O20" s="159">
        <v>1886</v>
      </c>
      <c r="P20" s="159">
        <v>1886</v>
      </c>
      <c r="Q20" s="159">
        <f>AVERAGE(O20,P20)</f>
        <v>1886</v>
      </c>
      <c r="R20" s="158">
        <f t="shared" si="12"/>
        <v>8028</v>
      </c>
      <c r="S20" s="159">
        <f>AVERAGE(P20,Q20)</f>
        <v>1886</v>
      </c>
      <c r="T20" s="159">
        <f>AVERAGE(Q20,S20)</f>
        <v>1886</v>
      </c>
      <c r="U20" s="159">
        <f>AVERAGE(S20,T20)</f>
        <v>1886</v>
      </c>
      <c r="V20" s="159">
        <f>AVERAGE(T20,U20)</f>
        <v>1886</v>
      </c>
      <c r="W20" s="158">
        <f t="shared" si="14"/>
        <v>7544</v>
      </c>
    </row>
    <row r="21" spans="2:24" s="42" customFormat="1" ht="17.25" customHeight="1" x14ac:dyDescent="0.45">
      <c r="B21" s="342" t="s">
        <v>137</v>
      </c>
      <c r="C21" s="343"/>
      <c r="D21" s="175">
        <f t="shared" ref="D21:F21" si="18">SUM(D16:D20)</f>
        <v>122826</v>
      </c>
      <c r="E21" s="175">
        <f t="shared" si="18"/>
        <v>152444</v>
      </c>
      <c r="F21" s="175">
        <f t="shared" si="18"/>
        <v>166281</v>
      </c>
      <c r="G21" s="176">
        <f>SUM(G16:G20)</f>
        <v>182567</v>
      </c>
      <c r="H21" s="163">
        <f>SUM(D21:G21)</f>
        <v>624118</v>
      </c>
      <c r="I21" s="174">
        <f>SUM(I16:I20)</f>
        <v>176272</v>
      </c>
      <c r="J21" s="178">
        <f>SUM(J16:J20)</f>
        <v>219671</v>
      </c>
      <c r="K21" s="178">
        <f>SUM(K16:K20)</f>
        <v>235878</v>
      </c>
      <c r="L21" s="178">
        <f>SUM(L16:L20)</f>
        <v>265267</v>
      </c>
      <c r="M21" s="177">
        <f>SUM(I21:L21)</f>
        <v>897088</v>
      </c>
      <c r="N21" s="178">
        <f>SUM(N16:N20)</f>
        <v>269029</v>
      </c>
      <c r="O21" s="178">
        <f>SUM(O16:O20)</f>
        <v>289574</v>
      </c>
      <c r="P21" s="178">
        <f>SUM(P16:P20)</f>
        <v>288688</v>
      </c>
      <c r="Q21" s="178">
        <f>SUM(Q16:Q20)</f>
        <v>286359.85200000001</v>
      </c>
      <c r="R21" s="177">
        <f>SUM(N21:Q21)</f>
        <v>1133650.852</v>
      </c>
      <c r="S21" s="178">
        <f>S15*(1-S77)</f>
        <v>298520.58693599992</v>
      </c>
      <c r="T21" s="178">
        <f>T15*(1-T77)</f>
        <v>343769.86496159999</v>
      </c>
      <c r="U21" s="178">
        <f>U15*(1-U77)</f>
        <v>362085.519432384</v>
      </c>
      <c r="V21" s="178">
        <f>V15*(1-V77)</f>
        <v>375011.04030306049</v>
      </c>
      <c r="W21" s="177">
        <f>SUM(S21:V21)</f>
        <v>1379387.0116330446</v>
      </c>
    </row>
    <row r="22" spans="2:24" x14ac:dyDescent="0.3">
      <c r="B22" s="342" t="s">
        <v>60</v>
      </c>
      <c r="C22" s="343"/>
      <c r="D22" s="165">
        <f t="shared" ref="D22:O22" si="19">D15-D21</f>
        <v>42256</v>
      </c>
      <c r="E22" s="166">
        <f t="shared" si="19"/>
        <v>54352</v>
      </c>
      <c r="F22" s="166">
        <f t="shared" si="19"/>
        <v>61139</v>
      </c>
      <c r="G22" s="166">
        <f t="shared" si="19"/>
        <v>68327</v>
      </c>
      <c r="H22" s="168">
        <f t="shared" si="19"/>
        <v>226074</v>
      </c>
      <c r="I22" s="169">
        <f t="shared" si="19"/>
        <v>74285</v>
      </c>
      <c r="J22" s="169">
        <f t="shared" si="19"/>
        <v>90342</v>
      </c>
      <c r="K22" s="169">
        <f t="shared" si="19"/>
        <v>96310</v>
      </c>
      <c r="L22" s="169">
        <f t="shared" si="19"/>
        <v>109093</v>
      </c>
      <c r="M22" s="168">
        <f t="shared" si="19"/>
        <v>370030</v>
      </c>
      <c r="N22" s="169">
        <f t="shared" si="19"/>
        <v>110240</v>
      </c>
      <c r="O22" s="169">
        <f t="shared" si="19"/>
        <v>148959</v>
      </c>
      <c r="P22" s="169">
        <f>P15-P21</f>
        <v>150314</v>
      </c>
      <c r="Q22" s="169">
        <f>Q15-Q21</f>
        <v>156332.36799999996</v>
      </c>
      <c r="R22" s="168">
        <f>R15-R21</f>
        <v>565845.36800000002</v>
      </c>
      <c r="S22" s="169">
        <f>S15-S21</f>
        <v>153783.33266400005</v>
      </c>
      <c r="T22" s="169">
        <f t="shared" ref="T22:V22" si="20">T15-T21</f>
        <v>177093.56679840002</v>
      </c>
      <c r="U22" s="169">
        <f t="shared" si="20"/>
        <v>186528.90395001607</v>
      </c>
      <c r="V22" s="169">
        <f t="shared" si="20"/>
        <v>193187.50561066758</v>
      </c>
      <c r="W22" s="168">
        <f>W15-W21</f>
        <v>710593.30902308365</v>
      </c>
    </row>
    <row r="23" spans="2:24" s="51" customFormat="1" ht="16.2" x14ac:dyDescent="0.45">
      <c r="B23" s="71" t="s">
        <v>193</v>
      </c>
      <c r="C23" s="73"/>
      <c r="D23" s="160">
        <f>D89</f>
        <v>224891</v>
      </c>
      <c r="E23" s="161">
        <f t="shared" ref="E23:G23" si="21">E89</f>
        <v>66848</v>
      </c>
      <c r="F23" s="161">
        <f t="shared" si="21"/>
        <v>75100</v>
      </c>
      <c r="G23" s="161">
        <f t="shared" si="21"/>
        <v>82021</v>
      </c>
      <c r="H23" s="163">
        <f>SUM(D23:G23)</f>
        <v>448860</v>
      </c>
      <c r="I23" s="161">
        <f t="shared" ref="I23:K23" si="22">I89</f>
        <v>89213</v>
      </c>
      <c r="J23" s="161">
        <f t="shared" si="22"/>
        <v>110560</v>
      </c>
      <c r="K23" s="161">
        <f t="shared" si="22"/>
        <v>117849</v>
      </c>
      <c r="L23" s="161">
        <f>L89</f>
        <v>134546</v>
      </c>
      <c r="M23" s="163">
        <f>SUM(I23:L23)</f>
        <v>452168</v>
      </c>
      <c r="N23" s="161">
        <f>N89</f>
        <v>146155</v>
      </c>
      <c r="O23" s="161">
        <f>O89</f>
        <v>170809</v>
      </c>
      <c r="P23" s="161">
        <f t="shared" ref="P23:V23" si="23">P89</f>
        <v>177777</v>
      </c>
      <c r="Q23" s="317">
        <f t="shared" si="23"/>
        <v>184888.08000000002</v>
      </c>
      <c r="R23" s="252">
        <f>SUM(N23:Q23)</f>
        <v>679629.08000000007</v>
      </c>
      <c r="S23" s="161">
        <f t="shared" si="23"/>
        <v>190434.72240000003</v>
      </c>
      <c r="T23" s="161">
        <f t="shared" si="23"/>
        <v>196147.76407200002</v>
      </c>
      <c r="U23" s="161">
        <f t="shared" si="23"/>
        <v>203993.67463488004</v>
      </c>
      <c r="V23" s="161">
        <f t="shared" si="23"/>
        <v>223373.07372519362</v>
      </c>
      <c r="W23" s="163">
        <f>SUM(S23:V23)</f>
        <v>813949.23483207368</v>
      </c>
      <c r="X23" s="91"/>
    </row>
    <row r="24" spans="2:24" s="51" customFormat="1" x14ac:dyDescent="0.3">
      <c r="B24" s="342" t="s">
        <v>62</v>
      </c>
      <c r="C24" s="343"/>
      <c r="D24" s="169">
        <f t="shared" ref="D24" si="24">D23-SUM(D17:D20)</f>
        <v>188340</v>
      </c>
      <c r="E24" s="169">
        <f t="shared" ref="E24" si="25">E23-SUM(E17:E20)</f>
        <v>24205</v>
      </c>
      <c r="F24" s="169">
        <f t="shared" ref="F24:J24" si="26">F23-SUM(F17:F20)</f>
        <v>31244</v>
      </c>
      <c r="G24" s="169">
        <f t="shared" si="26"/>
        <v>31811</v>
      </c>
      <c r="H24" s="244">
        <f t="shared" si="26"/>
        <v>275600</v>
      </c>
      <c r="I24" s="169">
        <f t="shared" si="26"/>
        <v>45048</v>
      </c>
      <c r="J24" s="169">
        <f t="shared" si="26"/>
        <v>56712</v>
      </c>
      <c r="K24" s="169">
        <f>K23-SUM(K17:K20)</f>
        <v>63978</v>
      </c>
      <c r="L24" s="169">
        <f>L23-SUM(L17:L20)</f>
        <v>62009</v>
      </c>
      <c r="M24" s="244">
        <f t="shared" ref="M24" si="27">M23-SUM(M17:M20)</f>
        <v>227747</v>
      </c>
      <c r="N24" s="169">
        <f>N23-SUM(N17:N20)</f>
        <v>71402</v>
      </c>
      <c r="O24" s="169">
        <f>O23-SUM(O17:O20)</f>
        <v>116092</v>
      </c>
      <c r="P24" s="169">
        <f t="shared" ref="P24:W24" si="28">P22+P23</f>
        <v>328091</v>
      </c>
      <c r="Q24" s="169">
        <f>Q22+Q23</f>
        <v>341220.44799999997</v>
      </c>
      <c r="R24" s="168">
        <f t="shared" si="28"/>
        <v>1245474.4480000001</v>
      </c>
      <c r="S24" s="169">
        <f t="shared" si="28"/>
        <v>344218.05506400007</v>
      </c>
      <c r="T24" s="169">
        <f t="shared" si="28"/>
        <v>373241.33087040007</v>
      </c>
      <c r="U24" s="169">
        <f t="shared" si="28"/>
        <v>390522.57858489611</v>
      </c>
      <c r="V24" s="169">
        <f t="shared" si="28"/>
        <v>416560.5793358612</v>
      </c>
      <c r="W24" s="168">
        <f t="shared" si="28"/>
        <v>1524542.5438551572</v>
      </c>
    </row>
    <row r="25" spans="2:24" x14ac:dyDescent="0.3">
      <c r="B25" s="346" t="s">
        <v>142</v>
      </c>
      <c r="C25" s="347"/>
      <c r="D25" s="155">
        <v>30933</v>
      </c>
      <c r="E25" s="156">
        <v>34551</v>
      </c>
      <c r="F25" s="156">
        <v>39483</v>
      </c>
      <c r="G25" s="157">
        <v>39670</v>
      </c>
      <c r="H25" s="158">
        <f>SUM(D25:G25)</f>
        <v>144637</v>
      </c>
      <c r="I25" s="155">
        <v>39545</v>
      </c>
      <c r="J25" s="159">
        <v>45887</v>
      </c>
      <c r="K25" s="159">
        <v>55020</v>
      </c>
      <c r="L25" s="170">
        <v>59186</v>
      </c>
      <c r="M25" s="158">
        <f>SUM(I25:L25)</f>
        <v>199638</v>
      </c>
      <c r="N25" s="171">
        <v>64592</v>
      </c>
      <c r="O25" s="159">
        <v>68638</v>
      </c>
      <c r="P25" s="159">
        <v>70418</v>
      </c>
      <c r="Q25" s="170">
        <f>Q15*Q69</f>
        <v>71009.928765609264</v>
      </c>
      <c r="R25" s="158">
        <f>SUM(N25:Q25)</f>
        <v>274657.92876560928</v>
      </c>
      <c r="S25" s="159">
        <f>S15*S69</f>
        <v>72551.690904353047</v>
      </c>
      <c r="T25" s="159">
        <f>T15*T69</f>
        <v>84177.457798022573</v>
      </c>
      <c r="U25" s="159">
        <f>U15*U69</f>
        <v>88000.351856578898</v>
      </c>
      <c r="V25" s="159">
        <f>V15*V69</f>
        <v>91827.350900666032</v>
      </c>
      <c r="W25" s="158">
        <f>SUM(S25:V25)</f>
        <v>336556.85145962052</v>
      </c>
    </row>
    <row r="26" spans="2:24" s="51" customFormat="1" x14ac:dyDescent="0.3">
      <c r="B26" s="140" t="s">
        <v>53</v>
      </c>
      <c r="C26" s="141"/>
      <c r="D26" s="155">
        <v>26070</v>
      </c>
      <c r="E26" s="156">
        <v>29720</v>
      </c>
      <c r="F26" s="156">
        <v>25914</v>
      </c>
      <c r="G26" s="157">
        <v>30873</v>
      </c>
      <c r="H26" s="158">
        <f t="shared" ref="H26:H29" si="29">SUM(D26:G26)</f>
        <v>112577</v>
      </c>
      <c r="I26" s="155">
        <v>36181</v>
      </c>
      <c r="J26" s="159">
        <v>31730</v>
      </c>
      <c r="K26" s="159">
        <v>39259</v>
      </c>
      <c r="L26" s="170">
        <v>38448</v>
      </c>
      <c r="M26" s="158">
        <f t="shared" ref="M26:M29" si="30">SUM(I26:L26)</f>
        <v>145618</v>
      </c>
      <c r="N26" s="171">
        <v>38496</v>
      </c>
      <c r="O26" s="159">
        <v>39220</v>
      </c>
      <c r="P26" s="159">
        <v>46754</v>
      </c>
      <c r="Q26" s="159">
        <f>Q15*Q70</f>
        <v>47147.010842501848</v>
      </c>
      <c r="R26" s="158">
        <f t="shared" ref="R26:R29" si="31">SUM(N26:Q26)</f>
        <v>171617.01084250186</v>
      </c>
      <c r="S26" s="159">
        <f>S15*S70</f>
        <v>48170.663133603943</v>
      </c>
      <c r="T26" s="159">
        <f>T15*T70</f>
        <v>55472.295999806469</v>
      </c>
      <c r="U26" s="159">
        <f>U15*U70</f>
        <v>58427.794749957247</v>
      </c>
      <c r="V26" s="159">
        <f>V15*V70</f>
        <v>60513.516602772746</v>
      </c>
      <c r="W26" s="158">
        <f t="shared" ref="W26:W29" si="32">SUM(S26:V26)</f>
        <v>222584.27048614042</v>
      </c>
    </row>
    <row r="27" spans="2:24" s="51" customFormat="1" x14ac:dyDescent="0.3">
      <c r="B27" s="140" t="s">
        <v>41</v>
      </c>
      <c r="C27" s="141"/>
      <c r="D27" s="155">
        <v>23402</v>
      </c>
      <c r="E27" s="156">
        <v>20669</v>
      </c>
      <c r="F27" s="156">
        <v>24514</v>
      </c>
      <c r="G27" s="157">
        <v>25635</v>
      </c>
      <c r="H27" s="158">
        <f t="shared" si="29"/>
        <v>94220</v>
      </c>
      <c r="I27" s="155">
        <v>28119</v>
      </c>
      <c r="J27" s="159">
        <v>31804</v>
      </c>
      <c r="K27" s="159">
        <v>37820</v>
      </c>
      <c r="L27" s="170">
        <v>45723</v>
      </c>
      <c r="M27" s="158">
        <f t="shared" si="30"/>
        <v>143466</v>
      </c>
      <c r="N27" s="171">
        <v>96107</v>
      </c>
      <c r="O27" s="159">
        <v>50784</v>
      </c>
      <c r="P27" s="159">
        <v>52075</v>
      </c>
      <c r="Q27" s="159">
        <f>Q15*Q71</f>
        <v>51794.989739999997</v>
      </c>
      <c r="R27" s="158">
        <f t="shared" si="31"/>
        <v>250760.98973999999</v>
      </c>
      <c r="S27" s="159">
        <f>S15*S71</f>
        <v>52919.558593199996</v>
      </c>
      <c r="T27" s="159">
        <f>T15*T71</f>
        <v>60941.021515920002</v>
      </c>
      <c r="U27" s="159">
        <f>U15*U71</f>
        <v>64187.887535740811</v>
      </c>
      <c r="V27" s="159">
        <f>V15*V71</f>
        <v>66479.229871906195</v>
      </c>
      <c r="W27" s="158">
        <f t="shared" si="32"/>
        <v>244527.69751676699</v>
      </c>
    </row>
    <row r="28" spans="2:24" s="51" customFormat="1" x14ac:dyDescent="0.3">
      <c r="B28" s="140" t="s">
        <v>143</v>
      </c>
      <c r="C28" s="141"/>
      <c r="D28" s="155">
        <v>6128</v>
      </c>
      <c r="E28" s="156">
        <v>4840</v>
      </c>
      <c r="F28" s="156">
        <v>6858</v>
      </c>
      <c r="G28" s="157">
        <v>6255</v>
      </c>
      <c r="H28" s="158">
        <f t="shared" si="29"/>
        <v>24081</v>
      </c>
      <c r="I28" s="155">
        <v>16322</v>
      </c>
      <c r="J28" s="159">
        <v>8513</v>
      </c>
      <c r="K28" s="159">
        <v>16005</v>
      </c>
      <c r="L28" s="170">
        <v>13169</v>
      </c>
      <c r="M28" s="158">
        <f t="shared" si="30"/>
        <v>54009</v>
      </c>
      <c r="N28" s="171">
        <v>7861</v>
      </c>
      <c r="O28" s="159">
        <v>17455</v>
      </c>
      <c r="P28" s="159">
        <v>12885</v>
      </c>
      <c r="Q28" s="159">
        <f>Q15*Q72</f>
        <v>12993.310405647353</v>
      </c>
      <c r="R28" s="158">
        <f t="shared" si="31"/>
        <v>51194.310405647353</v>
      </c>
      <c r="S28" s="159">
        <f>S15*S72</f>
        <v>13275.420166755504</v>
      </c>
      <c r="T28" s="159">
        <f>T15*T72</f>
        <v>15287.687341350609</v>
      </c>
      <c r="U28" s="159">
        <f>U15*U72</f>
        <v>16102.197359652633</v>
      </c>
      <c r="V28" s="159">
        <f>V15*V72</f>
        <v>16677.00435100156</v>
      </c>
      <c r="W28" s="158">
        <f t="shared" si="32"/>
        <v>61342.309218760311</v>
      </c>
    </row>
    <row r="29" spans="2:24" s="51" customFormat="1" x14ac:dyDescent="0.3">
      <c r="B29" s="63" t="s">
        <v>144</v>
      </c>
      <c r="C29" s="64"/>
      <c r="D29" s="155">
        <v>68</v>
      </c>
      <c r="E29" s="156">
        <v>162</v>
      </c>
      <c r="F29" s="156">
        <v>361</v>
      </c>
      <c r="G29" s="157">
        <v>459</v>
      </c>
      <c r="H29" s="158">
        <f t="shared" si="29"/>
        <v>1050</v>
      </c>
      <c r="I29" s="155">
        <v>468</v>
      </c>
      <c r="J29" s="159">
        <v>482</v>
      </c>
      <c r="K29" s="159">
        <v>423</v>
      </c>
      <c r="L29" s="170">
        <v>384</v>
      </c>
      <c r="M29" s="158">
        <f t="shared" si="30"/>
        <v>1757</v>
      </c>
      <c r="N29" s="171">
        <v>317</v>
      </c>
      <c r="O29" s="159">
        <v>222</v>
      </c>
      <c r="P29" s="159">
        <v>164</v>
      </c>
      <c r="Q29" s="159">
        <f>Q15*Q73</f>
        <v>165.37857248941916</v>
      </c>
      <c r="R29" s="158">
        <f t="shared" si="31"/>
        <v>868.37857248941918</v>
      </c>
      <c r="S29" s="159">
        <f>S15*S73</f>
        <v>168.96925939836262</v>
      </c>
      <c r="T29" s="159">
        <f>T15*T73</f>
        <v>194.5813522686457</v>
      </c>
      <c r="U29" s="159">
        <f>U15*U73</f>
        <v>204.94841808172538</v>
      </c>
      <c r="V29" s="159">
        <f>V15*V73</f>
        <v>212.26454897665934</v>
      </c>
      <c r="W29" s="158">
        <f t="shared" si="32"/>
        <v>780.76357872539302</v>
      </c>
    </row>
    <row r="30" spans="2:24" s="51" customFormat="1" ht="16.2" x14ac:dyDescent="0.45">
      <c r="B30" s="71" t="s">
        <v>145</v>
      </c>
      <c r="C30" s="57"/>
      <c r="D30" s="160">
        <v>0</v>
      </c>
      <c r="E30" s="161">
        <v>0</v>
      </c>
      <c r="F30" s="161">
        <v>0</v>
      </c>
      <c r="G30" s="162">
        <v>0</v>
      </c>
      <c r="H30" s="163">
        <f t="shared" ref="H30" si="33">SUM(D30:G30)</f>
        <v>0</v>
      </c>
      <c r="I30" s="160">
        <v>0</v>
      </c>
      <c r="J30" s="164">
        <v>0</v>
      </c>
      <c r="K30" s="164">
        <v>0</v>
      </c>
      <c r="L30" s="172">
        <v>0</v>
      </c>
      <c r="M30" s="163">
        <f t="shared" ref="M30" si="34">SUM(I30:L30)</f>
        <v>0</v>
      </c>
      <c r="N30" s="173">
        <v>0</v>
      </c>
      <c r="O30" s="164">
        <v>0</v>
      </c>
      <c r="P30" s="164">
        <v>0</v>
      </c>
      <c r="Q30" s="259">
        <v>0</v>
      </c>
      <c r="R30" s="163">
        <f t="shared" ref="R30" si="35">SUM(N30:Q30)</f>
        <v>0</v>
      </c>
      <c r="S30" s="260">
        <v>0</v>
      </c>
      <c r="T30" s="258">
        <v>0</v>
      </c>
      <c r="U30" s="258">
        <v>0</v>
      </c>
      <c r="V30" s="259">
        <v>0</v>
      </c>
      <c r="W30" s="163">
        <f t="shared" ref="W30" si="36">SUM(S30:V30)</f>
        <v>0</v>
      </c>
    </row>
    <row r="31" spans="2:24" s="15" customFormat="1" ht="16.2" x14ac:dyDescent="0.45">
      <c r="B31" s="23" t="s">
        <v>48</v>
      </c>
      <c r="C31" s="24"/>
      <c r="D31" s="174">
        <f>SUM(D25:D30)</f>
        <v>86601</v>
      </c>
      <c r="E31" s="175">
        <f t="shared" ref="E31:W31" si="37">SUM(E25:E30)</f>
        <v>89942</v>
      </c>
      <c r="F31" s="175">
        <f t="shared" si="37"/>
        <v>97130</v>
      </c>
      <c r="G31" s="176">
        <f t="shared" si="37"/>
        <v>102892</v>
      </c>
      <c r="H31" s="177">
        <f t="shared" si="37"/>
        <v>376565</v>
      </c>
      <c r="I31" s="174">
        <f t="shared" si="37"/>
        <v>120635</v>
      </c>
      <c r="J31" s="178">
        <f t="shared" si="37"/>
        <v>118416</v>
      </c>
      <c r="K31" s="178">
        <f t="shared" si="37"/>
        <v>148527</v>
      </c>
      <c r="L31" s="179">
        <f t="shared" si="37"/>
        <v>156910</v>
      </c>
      <c r="M31" s="177">
        <f t="shared" si="37"/>
        <v>544488</v>
      </c>
      <c r="N31" s="180">
        <f t="shared" si="37"/>
        <v>207373</v>
      </c>
      <c r="O31" s="178">
        <f t="shared" si="37"/>
        <v>176319</v>
      </c>
      <c r="P31" s="178">
        <f t="shared" si="37"/>
        <v>182296</v>
      </c>
      <c r="Q31" s="179">
        <f t="shared" si="37"/>
        <v>183110.61832624787</v>
      </c>
      <c r="R31" s="177">
        <f t="shared" si="37"/>
        <v>749098.6183262479</v>
      </c>
      <c r="S31" s="180">
        <f t="shared" si="37"/>
        <v>187086.30205731082</v>
      </c>
      <c r="T31" s="178">
        <f t="shared" si="37"/>
        <v>216073.04400736827</v>
      </c>
      <c r="U31" s="178">
        <f t="shared" si="37"/>
        <v>226923.17992001135</v>
      </c>
      <c r="V31" s="179">
        <f t="shared" si="37"/>
        <v>235709.36627532321</v>
      </c>
      <c r="W31" s="177">
        <f t="shared" si="37"/>
        <v>865791.89226001361</v>
      </c>
    </row>
    <row r="32" spans="2:24" x14ac:dyDescent="0.3">
      <c r="B32" s="342" t="s">
        <v>45</v>
      </c>
      <c r="C32" s="343"/>
      <c r="D32" s="165">
        <f>D22-D31</f>
        <v>-44345</v>
      </c>
      <c r="E32" s="166">
        <f t="shared" ref="E32:W32" si="38">E22-E31</f>
        <v>-35590</v>
      </c>
      <c r="F32" s="166">
        <f t="shared" si="38"/>
        <v>-35991</v>
      </c>
      <c r="G32" s="167">
        <f>G22-G31</f>
        <v>-34565</v>
      </c>
      <c r="H32" s="168">
        <f t="shared" si="38"/>
        <v>-150491</v>
      </c>
      <c r="I32" s="165">
        <f>I22-I31</f>
        <v>-46350</v>
      </c>
      <c r="J32" s="169">
        <f t="shared" si="38"/>
        <v>-28074</v>
      </c>
      <c r="K32" s="169">
        <f t="shared" si="38"/>
        <v>-52217</v>
      </c>
      <c r="L32" s="181">
        <f>L22-L31</f>
        <v>-47817</v>
      </c>
      <c r="M32" s="168">
        <f t="shared" si="38"/>
        <v>-174458</v>
      </c>
      <c r="N32" s="182">
        <f t="shared" si="38"/>
        <v>-97133</v>
      </c>
      <c r="O32" s="169">
        <f>O22-O31</f>
        <v>-27360</v>
      </c>
      <c r="P32" s="169">
        <f t="shared" si="38"/>
        <v>-31982</v>
      </c>
      <c r="Q32" s="181">
        <f t="shared" si="38"/>
        <v>-26778.250326247915</v>
      </c>
      <c r="R32" s="168">
        <f t="shared" si="38"/>
        <v>-183253.25032624789</v>
      </c>
      <c r="S32" s="182">
        <f t="shared" si="38"/>
        <v>-33302.969393310777</v>
      </c>
      <c r="T32" s="169">
        <f t="shared" si="38"/>
        <v>-38979.477208968252</v>
      </c>
      <c r="U32" s="169">
        <f t="shared" si="38"/>
        <v>-40394.275969995273</v>
      </c>
      <c r="V32" s="181">
        <f t="shared" si="38"/>
        <v>-42521.860664655629</v>
      </c>
      <c r="W32" s="168">
        <f t="shared" si="38"/>
        <v>-155198.58323692996</v>
      </c>
    </row>
    <row r="33" spans="2:23" s="52" customFormat="1" x14ac:dyDescent="0.3">
      <c r="B33" s="65" t="s">
        <v>61</v>
      </c>
      <c r="C33" s="66"/>
      <c r="D33" s="155">
        <f>+D81+D82+D83</f>
        <v>6219</v>
      </c>
      <c r="E33" s="156">
        <f t="shared" ref="E33:G33" si="39">+E81+E82+E83</f>
        <v>8102</v>
      </c>
      <c r="F33" s="156">
        <f t="shared" si="39"/>
        <v>10332</v>
      </c>
      <c r="G33" s="156">
        <f t="shared" si="39"/>
        <v>11447</v>
      </c>
      <c r="H33" s="158">
        <f>SUM(D33:G33)</f>
        <v>36100</v>
      </c>
      <c r="I33" s="155">
        <f>+I81+I82+I83</f>
        <v>13461</v>
      </c>
      <c r="J33" s="156">
        <f t="shared" ref="J33:L33" si="40">+J81+J82+J83</f>
        <v>15232</v>
      </c>
      <c r="K33" s="156">
        <f t="shared" si="40"/>
        <v>20793</v>
      </c>
      <c r="L33" s="156">
        <f t="shared" si="40"/>
        <v>32806</v>
      </c>
      <c r="M33" s="158">
        <f>SUM(I33:L33)</f>
        <v>82292</v>
      </c>
      <c r="N33" s="155">
        <f>+N81+N82+N83</f>
        <v>31198</v>
      </c>
      <c r="O33" s="156">
        <f t="shared" ref="O33:Q33" si="41">+O81+O82+O83</f>
        <v>36922</v>
      </c>
      <c r="P33" s="156">
        <f t="shared" si="41"/>
        <v>36779</v>
      </c>
      <c r="Q33" s="156">
        <f t="shared" si="41"/>
        <v>39721.32</v>
      </c>
      <c r="R33" s="158">
        <f>SUM(N33:Q33)</f>
        <v>144620.32</v>
      </c>
      <c r="S33" s="155">
        <f>+S81+S82+S83</f>
        <v>42899.025600000001</v>
      </c>
      <c r="T33" s="156">
        <f t="shared" ref="T33:V33" si="42">+T81+T82+T83</f>
        <v>46330.947648000001</v>
      </c>
      <c r="U33" s="156">
        <f t="shared" si="42"/>
        <v>50037.423459840007</v>
      </c>
      <c r="V33" s="156">
        <f t="shared" si="42"/>
        <v>54040.417336627208</v>
      </c>
      <c r="W33" s="158">
        <f>SUM(S33:V33)</f>
        <v>193307.8140444672</v>
      </c>
    </row>
    <row r="34" spans="2:23" s="45" customFormat="1" x14ac:dyDescent="0.3">
      <c r="B34" s="342" t="s">
        <v>46</v>
      </c>
      <c r="C34" s="343"/>
      <c r="D34" s="165">
        <f>D32+D33+D24</f>
        <v>150214</v>
      </c>
      <c r="E34" s="166">
        <f t="shared" ref="E34:G34" si="43">E32+E33+E24</f>
        <v>-3283</v>
      </c>
      <c r="F34" s="166">
        <f t="shared" si="43"/>
        <v>5585</v>
      </c>
      <c r="G34" s="166">
        <f t="shared" si="43"/>
        <v>8693</v>
      </c>
      <c r="H34" s="168">
        <f t="shared" ref="H34" si="44">H32+H33+H23</f>
        <v>334469</v>
      </c>
      <c r="I34" s="165">
        <f>I32+I33+I24</f>
        <v>12159</v>
      </c>
      <c r="J34" s="166">
        <f t="shared" ref="J34" si="45">J32+J33+J24</f>
        <v>43870</v>
      </c>
      <c r="K34" s="166">
        <f t="shared" ref="K34" si="46">K32+K33+K24</f>
        <v>32554</v>
      </c>
      <c r="L34" s="166">
        <f t="shared" ref="L34" si="47">L32+L33+L24</f>
        <v>46998</v>
      </c>
      <c r="M34" s="168">
        <f t="shared" ref="M34:W34" si="48">M32+M33+M23</f>
        <v>360002</v>
      </c>
      <c r="N34" s="166">
        <f t="shared" ref="N34" si="49">N32+N33+N24</f>
        <v>5467</v>
      </c>
      <c r="O34" s="166">
        <f t="shared" ref="O34" si="50">O32+O33+O24</f>
        <v>125654</v>
      </c>
      <c r="P34" s="169">
        <f t="shared" si="48"/>
        <v>182574</v>
      </c>
      <c r="Q34" s="169">
        <f t="shared" si="48"/>
        <v>197831.14967375211</v>
      </c>
      <c r="R34" s="168">
        <f t="shared" si="48"/>
        <v>640996.14967375225</v>
      </c>
      <c r="S34" s="169">
        <f t="shared" si="48"/>
        <v>200030.77860668924</v>
      </c>
      <c r="T34" s="169">
        <f t="shared" si="48"/>
        <v>203499.23451103177</v>
      </c>
      <c r="U34" s="169">
        <f t="shared" si="48"/>
        <v>213636.82212472477</v>
      </c>
      <c r="V34" s="169">
        <f t="shared" si="48"/>
        <v>234891.63039716519</v>
      </c>
      <c r="W34" s="168">
        <f t="shared" si="48"/>
        <v>852058.46563961089</v>
      </c>
    </row>
    <row r="35" spans="2:23" s="51" customFormat="1" x14ac:dyDescent="0.3">
      <c r="B35" s="63" t="s">
        <v>49</v>
      </c>
      <c r="C35" s="64"/>
      <c r="D35" s="156">
        <v>2</v>
      </c>
      <c r="E35" s="156">
        <v>180</v>
      </c>
      <c r="F35" s="156">
        <v>433</v>
      </c>
      <c r="G35" s="157">
        <v>443</v>
      </c>
      <c r="H35" s="158">
        <f>SUM(D35:G35)</f>
        <v>1058</v>
      </c>
      <c r="I35" s="155">
        <v>414</v>
      </c>
      <c r="J35" s="159">
        <v>444</v>
      </c>
      <c r="K35" s="159">
        <v>137</v>
      </c>
      <c r="L35" s="159">
        <v>168</v>
      </c>
      <c r="M35" s="158">
        <f>SUM(I35:L35)</f>
        <v>1163</v>
      </c>
      <c r="N35" s="159">
        <v>69</v>
      </c>
      <c r="O35" s="159">
        <v>-129</v>
      </c>
      <c r="P35" s="159">
        <v>-183</v>
      </c>
      <c r="Q35" s="159">
        <f>Q74</f>
        <v>-30</v>
      </c>
      <c r="R35" s="158">
        <f>SUM(N35:Q35)</f>
        <v>-273</v>
      </c>
      <c r="S35" s="159">
        <f>S74</f>
        <v>-30</v>
      </c>
      <c r="T35" s="159">
        <f>T74</f>
        <v>-30</v>
      </c>
      <c r="U35" s="159">
        <f>U74</f>
        <v>-30</v>
      </c>
      <c r="V35" s="159">
        <f>V74</f>
        <v>-30</v>
      </c>
      <c r="W35" s="158">
        <f>SUM(S35:V35)</f>
        <v>-120</v>
      </c>
    </row>
    <row r="36" spans="2:23" ht="16.2" x14ac:dyDescent="0.45">
      <c r="B36" s="346" t="s">
        <v>50</v>
      </c>
      <c r="C36" s="347"/>
      <c r="D36" s="160">
        <v>454</v>
      </c>
      <c r="E36" s="161">
        <v>-674</v>
      </c>
      <c r="F36" s="161">
        <v>957</v>
      </c>
      <c r="G36" s="162">
        <v>367</v>
      </c>
      <c r="H36" s="163">
        <f>SUM(D36:G36)</f>
        <v>1104</v>
      </c>
      <c r="I36" s="160">
        <v>796</v>
      </c>
      <c r="J36" s="164">
        <v>-50</v>
      </c>
      <c r="K36" s="164">
        <v>644</v>
      </c>
      <c r="L36" s="164">
        <v>-940</v>
      </c>
      <c r="M36" s="163">
        <f>SUM(I36:L36)</f>
        <v>450</v>
      </c>
      <c r="N36" s="164">
        <v>-786</v>
      </c>
      <c r="O36" s="164">
        <v>-198</v>
      </c>
      <c r="P36" s="164">
        <v>294</v>
      </c>
      <c r="Q36" s="164">
        <f>Q15*Q75</f>
        <v>296.47134336517831</v>
      </c>
      <c r="R36" s="163">
        <f>SUM(N36:Q36)</f>
        <v>-393.52865663482169</v>
      </c>
      <c r="S36" s="164">
        <f>S15*S75</f>
        <v>302.90830648243059</v>
      </c>
      <c r="T36" s="164">
        <f>T15*T75</f>
        <v>348.82266809135268</v>
      </c>
      <c r="U36" s="164">
        <f>U15*U75</f>
        <v>367.40752997577601</v>
      </c>
      <c r="V36" s="164">
        <f>V15*V75</f>
        <v>380.52303292157222</v>
      </c>
      <c r="W36" s="163">
        <f>SUM(S36:V36)</f>
        <v>1399.6615374711314</v>
      </c>
    </row>
    <row r="37" spans="2:23" x14ac:dyDescent="0.3">
      <c r="B37" s="342" t="s">
        <v>42</v>
      </c>
      <c r="C37" s="343"/>
      <c r="D37" s="166">
        <f t="shared" ref="D37:E37" si="51">D32-D36-D35</f>
        <v>-44801</v>
      </c>
      <c r="E37" s="166">
        <f t="shared" si="51"/>
        <v>-35096</v>
      </c>
      <c r="F37" s="166">
        <f>F32-F36-F35</f>
        <v>-37381</v>
      </c>
      <c r="G37" s="167">
        <f>G32-G36-G35</f>
        <v>-35375</v>
      </c>
      <c r="H37" s="168">
        <f>H32-H36-H35</f>
        <v>-152653</v>
      </c>
      <c r="I37" s="169">
        <f t="shared" ref="I37:K37" si="52">I32-I36-I35</f>
        <v>-47560</v>
      </c>
      <c r="J37" s="169">
        <f t="shared" si="52"/>
        <v>-28468</v>
      </c>
      <c r="K37" s="169">
        <f t="shared" si="52"/>
        <v>-52998</v>
      </c>
      <c r="L37" s="169">
        <f t="shared" ref="L37:Q37" si="53">L32-L36-L35</f>
        <v>-47045</v>
      </c>
      <c r="M37" s="168">
        <f t="shared" si="53"/>
        <v>-176071</v>
      </c>
      <c r="N37" s="169">
        <f t="shared" si="53"/>
        <v>-96416</v>
      </c>
      <c r="O37" s="169">
        <f t="shared" si="53"/>
        <v>-27033</v>
      </c>
      <c r="P37" s="169">
        <f t="shared" si="53"/>
        <v>-32093</v>
      </c>
      <c r="Q37" s="169">
        <f t="shared" si="53"/>
        <v>-27044.721669613093</v>
      </c>
      <c r="R37" s="168">
        <f t="shared" ref="R37:W37" si="54">R32+R36+R35</f>
        <v>-183919.77898288271</v>
      </c>
      <c r="S37" s="169">
        <f>S32-S36-S35</f>
        <v>-33575.877699793207</v>
      </c>
      <c r="T37" s="169">
        <f>T32-T36-T35</f>
        <v>-39298.299877059602</v>
      </c>
      <c r="U37" s="169">
        <f>U32-U36-U35</f>
        <v>-40731.683499971048</v>
      </c>
      <c r="V37" s="169">
        <f>V32-V36-V35</f>
        <v>-42872.383697577199</v>
      </c>
      <c r="W37" s="168">
        <f t="shared" si="54"/>
        <v>-153918.92169945882</v>
      </c>
    </row>
    <row r="38" spans="2:23" x14ac:dyDescent="0.3">
      <c r="B38" s="346" t="s">
        <v>54</v>
      </c>
      <c r="C38" s="347"/>
      <c r="D38" s="156">
        <v>-810</v>
      </c>
      <c r="E38" s="156">
        <v>268</v>
      </c>
      <c r="F38" s="156">
        <v>285</v>
      </c>
      <c r="G38" s="157">
        <v>1697</v>
      </c>
      <c r="H38" s="158">
        <f>SUM(D38:G38)</f>
        <v>1440</v>
      </c>
      <c r="I38" s="155">
        <v>418</v>
      </c>
      <c r="J38" s="159">
        <v>1152</v>
      </c>
      <c r="K38" s="159">
        <v>932</v>
      </c>
      <c r="L38" s="159">
        <v>1244</v>
      </c>
      <c r="M38" s="183">
        <f>SUM(I38:L38)</f>
        <v>3746</v>
      </c>
      <c r="N38" s="159">
        <v>339</v>
      </c>
      <c r="O38" s="159">
        <v>312</v>
      </c>
      <c r="P38" s="159">
        <v>230</v>
      </c>
      <c r="Q38" s="159">
        <f>Q37*Q76</f>
        <v>193.82064574863713</v>
      </c>
      <c r="R38" s="158">
        <f>SUM(N38:Q38)</f>
        <v>1074.8206457486372</v>
      </c>
      <c r="S38" s="159">
        <f>S37*S76</f>
        <v>240.62729788279182</v>
      </c>
      <c r="T38" s="159">
        <f>T37*T76</f>
        <v>281.63801987111549</v>
      </c>
      <c r="U38" s="159">
        <f>U37*U76</f>
        <v>291.91060994588668</v>
      </c>
      <c r="V38" s="159">
        <f>V37*V76</f>
        <v>307.25230581256835</v>
      </c>
      <c r="W38" s="158">
        <f>SUM(S38:V38)</f>
        <v>1121.4282335123623</v>
      </c>
    </row>
    <row r="39" spans="2:23" x14ac:dyDescent="0.3">
      <c r="B39" s="342" t="s">
        <v>51</v>
      </c>
      <c r="C39" s="343"/>
      <c r="D39" s="166">
        <f t="shared" ref="D39:J39" si="55">D37-D38</f>
        <v>-43991</v>
      </c>
      <c r="E39" s="166">
        <f t="shared" si="55"/>
        <v>-35364</v>
      </c>
      <c r="F39" s="166">
        <f t="shared" si="55"/>
        <v>-37666</v>
      </c>
      <c r="G39" s="167">
        <f t="shared" si="55"/>
        <v>-37072</v>
      </c>
      <c r="H39" s="168">
        <f t="shared" si="55"/>
        <v>-154093</v>
      </c>
      <c r="I39" s="165">
        <f t="shared" si="55"/>
        <v>-47978</v>
      </c>
      <c r="J39" s="169">
        <f t="shared" si="55"/>
        <v>-29620</v>
      </c>
      <c r="K39" s="169">
        <f>K37-K38</f>
        <v>-53930</v>
      </c>
      <c r="L39" s="169">
        <f t="shared" ref="L39:W39" si="56">L37-L38</f>
        <v>-48289</v>
      </c>
      <c r="M39" s="168">
        <f t="shared" si="56"/>
        <v>-179817</v>
      </c>
      <c r="N39" s="169">
        <f t="shared" si="56"/>
        <v>-96755</v>
      </c>
      <c r="O39" s="169">
        <f>O37-O38</f>
        <v>-27345</v>
      </c>
      <c r="P39" s="169">
        <f t="shared" si="56"/>
        <v>-32323</v>
      </c>
      <c r="Q39" s="274">
        <f t="shared" si="56"/>
        <v>-27238.54231536173</v>
      </c>
      <c r="R39" s="168">
        <f t="shared" si="56"/>
        <v>-184994.59962863135</v>
      </c>
      <c r="S39" s="169">
        <f t="shared" si="56"/>
        <v>-33816.504997675998</v>
      </c>
      <c r="T39" s="169">
        <f t="shared" si="56"/>
        <v>-39579.937896930714</v>
      </c>
      <c r="U39" s="169">
        <f t="shared" si="56"/>
        <v>-41023.594109916936</v>
      </c>
      <c r="V39" s="169">
        <f t="shared" si="56"/>
        <v>-43179.636003389765</v>
      </c>
      <c r="W39" s="168">
        <f t="shared" si="56"/>
        <v>-155040.34993297118</v>
      </c>
    </row>
    <row r="40" spans="2:23" s="52" customFormat="1" ht="16.2" x14ac:dyDescent="0.45">
      <c r="B40" s="71" t="s">
        <v>70</v>
      </c>
      <c r="C40" s="72"/>
      <c r="D40" s="161">
        <v>0</v>
      </c>
      <c r="E40" s="161">
        <v>0</v>
      </c>
      <c r="F40" s="161">
        <v>0</v>
      </c>
      <c r="G40" s="162">
        <v>0</v>
      </c>
      <c r="H40" s="163">
        <f>SUM(D40:G40)</f>
        <v>0</v>
      </c>
      <c r="I40" s="160">
        <v>0</v>
      </c>
      <c r="J40" s="164">
        <v>0</v>
      </c>
      <c r="K40" s="164">
        <v>0</v>
      </c>
      <c r="L40" s="164">
        <v>0</v>
      </c>
      <c r="M40" s="163">
        <f>SUM(I40:L40)</f>
        <v>0</v>
      </c>
      <c r="N40" s="164">
        <v>0</v>
      </c>
      <c r="O40" s="164">
        <v>0</v>
      </c>
      <c r="P40" s="164">
        <v>0</v>
      </c>
      <c r="Q40" s="258">
        <v>0</v>
      </c>
      <c r="R40" s="163">
        <f>SUM(N40:Q40)</f>
        <v>0</v>
      </c>
      <c r="S40" s="258">
        <v>0</v>
      </c>
      <c r="T40" s="258">
        <v>0</v>
      </c>
      <c r="U40" s="258">
        <v>0</v>
      </c>
      <c r="V40" s="258">
        <v>0</v>
      </c>
      <c r="W40" s="163">
        <f>SUM(S40:V40)</f>
        <v>0</v>
      </c>
    </row>
    <row r="41" spans="2:23" s="21" customFormat="1" x14ac:dyDescent="0.3">
      <c r="B41" s="342" t="s">
        <v>22</v>
      </c>
      <c r="C41" s="343"/>
      <c r="D41" s="166">
        <f>D39+D33+D23+D40</f>
        <v>187119</v>
      </c>
      <c r="E41" s="166">
        <f t="shared" ref="E41:J41" si="57">E39+E33+E23+E40</f>
        <v>39586</v>
      </c>
      <c r="F41" s="166">
        <f t="shared" si="57"/>
        <v>47766</v>
      </c>
      <c r="G41" s="167">
        <f t="shared" si="57"/>
        <v>56396</v>
      </c>
      <c r="H41" s="168">
        <f t="shared" si="57"/>
        <v>330867</v>
      </c>
      <c r="I41" s="165">
        <f t="shared" si="57"/>
        <v>54696</v>
      </c>
      <c r="J41" s="169">
        <f t="shared" si="57"/>
        <v>96172</v>
      </c>
      <c r="K41" s="169">
        <f>K39+K33+K23+K40</f>
        <v>84712</v>
      </c>
      <c r="L41" s="169">
        <f t="shared" ref="L41:W41" si="58">L39+L33+L23+L40</f>
        <v>119063</v>
      </c>
      <c r="M41" s="168">
        <f>M39+M33+M23+M40</f>
        <v>354643</v>
      </c>
      <c r="N41" s="169">
        <f t="shared" si="58"/>
        <v>80598</v>
      </c>
      <c r="O41" s="169">
        <f t="shared" si="58"/>
        <v>180386</v>
      </c>
      <c r="P41" s="169">
        <f t="shared" si="58"/>
        <v>182233</v>
      </c>
      <c r="Q41" s="169">
        <f t="shared" si="58"/>
        <v>197370.85768463829</v>
      </c>
      <c r="R41" s="168">
        <f t="shared" si="58"/>
        <v>639254.80037136876</v>
      </c>
      <c r="S41" s="169">
        <f t="shared" si="58"/>
        <v>199517.24300232402</v>
      </c>
      <c r="T41" s="169">
        <f t="shared" si="58"/>
        <v>202898.77382306929</v>
      </c>
      <c r="U41" s="169">
        <f t="shared" si="58"/>
        <v>213007.5039848031</v>
      </c>
      <c r="V41" s="169">
        <f t="shared" si="58"/>
        <v>234233.85505843107</v>
      </c>
      <c r="W41" s="168">
        <f t="shared" si="58"/>
        <v>852216.69894356967</v>
      </c>
    </row>
    <row r="42" spans="2:23" s="51" customFormat="1" x14ac:dyDescent="0.3">
      <c r="B42" s="140" t="s">
        <v>171</v>
      </c>
      <c r="C42" s="143"/>
      <c r="D42" s="156">
        <v>0</v>
      </c>
      <c r="E42" s="156">
        <v>0</v>
      </c>
      <c r="F42" s="156">
        <v>0</v>
      </c>
      <c r="G42" s="157">
        <v>0</v>
      </c>
      <c r="H42" s="158">
        <f>SUM(D42:G42)</f>
        <v>0</v>
      </c>
      <c r="I42" s="155">
        <v>0</v>
      </c>
      <c r="J42" s="159">
        <v>0</v>
      </c>
      <c r="K42" s="159">
        <v>0</v>
      </c>
      <c r="L42" s="159">
        <v>-32200</v>
      </c>
      <c r="M42" s="158">
        <f>SUM(I42:L42)</f>
        <v>-32200</v>
      </c>
      <c r="N42" s="169">
        <v>0</v>
      </c>
      <c r="O42" s="169">
        <v>0</v>
      </c>
      <c r="P42" s="169">
        <v>0</v>
      </c>
      <c r="Q42" s="261">
        <v>0</v>
      </c>
      <c r="R42" s="168">
        <f>SUM(N42:Q42)</f>
        <v>0</v>
      </c>
      <c r="S42" s="261">
        <v>0</v>
      </c>
      <c r="T42" s="261">
        <v>0</v>
      </c>
      <c r="U42" s="261">
        <v>0</v>
      </c>
      <c r="V42" s="261">
        <v>0</v>
      </c>
      <c r="W42" s="168">
        <f>SUM(S42:V42)</f>
        <v>0</v>
      </c>
    </row>
    <row r="43" spans="2:23" s="51" customFormat="1" x14ac:dyDescent="0.3">
      <c r="B43" s="142" t="s">
        <v>172</v>
      </c>
      <c r="C43" s="143"/>
      <c r="D43" s="169">
        <f t="shared" ref="D43" si="59">D39+D42</f>
        <v>-43991</v>
      </c>
      <c r="E43" s="169">
        <f t="shared" ref="E43" si="60">E39+E42</f>
        <v>-35364</v>
      </c>
      <c r="F43" s="169">
        <f t="shared" ref="F43" si="61">F39+F42</f>
        <v>-37666</v>
      </c>
      <c r="G43" s="169">
        <f t="shared" ref="G43:K43" si="62">G39+G42</f>
        <v>-37072</v>
      </c>
      <c r="H43" s="168">
        <f t="shared" ref="H43" si="63">SUM(D43:G43)</f>
        <v>-154093</v>
      </c>
      <c r="I43" s="169">
        <f t="shared" si="62"/>
        <v>-47978</v>
      </c>
      <c r="J43" s="169">
        <f t="shared" si="62"/>
        <v>-29620</v>
      </c>
      <c r="K43" s="169">
        <f t="shared" si="62"/>
        <v>-53930</v>
      </c>
      <c r="L43" s="169">
        <f>L39+L42</f>
        <v>-80489</v>
      </c>
      <c r="M43" s="168">
        <f t="shared" ref="M43" si="64">SUM(I43:L43)</f>
        <v>-212017</v>
      </c>
      <c r="N43" s="169">
        <f>N39+N42</f>
        <v>-96755</v>
      </c>
      <c r="O43" s="169">
        <f>O39+O42</f>
        <v>-27345</v>
      </c>
      <c r="P43" s="169">
        <f t="shared" ref="P43:Q43" si="65">P39+P42</f>
        <v>-32323</v>
      </c>
      <c r="Q43" s="169">
        <f t="shared" si="65"/>
        <v>-27238.54231536173</v>
      </c>
      <c r="R43" s="168">
        <f>SUM(N43:Q43)</f>
        <v>-183661.54231536173</v>
      </c>
      <c r="S43" s="169">
        <f>S39+S42</f>
        <v>-33816.504997675998</v>
      </c>
      <c r="T43" s="169">
        <f>T39+T42</f>
        <v>-39579.937896930714</v>
      </c>
      <c r="U43" s="169">
        <f t="shared" ref="U43" si="66">U39+U42</f>
        <v>-41023.594109916936</v>
      </c>
      <c r="V43" s="169">
        <f t="shared" ref="V43" si="67">V39+V42</f>
        <v>-43179.636003389765</v>
      </c>
      <c r="W43" s="168">
        <f>SUM(S43:V43)</f>
        <v>-157599.6730079134</v>
      </c>
    </row>
    <row r="44" spans="2:23" x14ac:dyDescent="0.3">
      <c r="B44" s="324" t="s">
        <v>20</v>
      </c>
      <c r="C44" s="325"/>
      <c r="D44" s="156">
        <v>135417</v>
      </c>
      <c r="E44" s="156">
        <v>140821</v>
      </c>
      <c r="F44" s="156">
        <v>143671</v>
      </c>
      <c r="G44" s="157">
        <v>148031</v>
      </c>
      <c r="H44" s="158">
        <f>((D44*D39/H39)+(E44*E39/H39)+(F44*F39/H39)+(G44*G39/H39))</f>
        <v>141709.48848422707</v>
      </c>
      <c r="I44" s="155">
        <v>145069</v>
      </c>
      <c r="J44" s="159">
        <v>149253</v>
      </c>
      <c r="K44" s="159">
        <v>152334</v>
      </c>
      <c r="L44" s="159">
        <v>234548</v>
      </c>
      <c r="M44" s="158">
        <f>((I44*I39/M39)+(J44*J39/M39)+(K44*K39/M39)+(L44*L39/M39))</f>
        <v>171966.25087728078</v>
      </c>
      <c r="N44" s="159">
        <v>331324</v>
      </c>
      <c r="O44" s="159">
        <v>334488</v>
      </c>
      <c r="P44" s="159">
        <v>343893</v>
      </c>
      <c r="Q44" s="159">
        <f>P44*(1+Q105)</f>
        <v>354209.79000000004</v>
      </c>
      <c r="R44" s="158">
        <f>((N44*N39/R39)+(O44*O39/R39)+(P44*P39/R39)+(Q44*Q39/R39))</f>
        <v>334969.99316103145</v>
      </c>
      <c r="S44" s="159">
        <f>Q44*(1+S105)</f>
        <v>364836.08370000008</v>
      </c>
      <c r="T44" s="159">
        <f t="shared" ref="T44:V46" si="68">S44*(1+T105)</f>
        <v>375781.16621100006</v>
      </c>
      <c r="U44" s="159">
        <f t="shared" si="68"/>
        <v>390812.41285944008</v>
      </c>
      <c r="V44" s="159">
        <f t="shared" si="68"/>
        <v>398628.66111662891</v>
      </c>
      <c r="W44" s="158">
        <f>((S44*S39/W39)+(T44*T39/W39)+(U44*U39/W39)+(V44*V39/W39))</f>
        <v>389937.50195465778</v>
      </c>
    </row>
    <row r="45" spans="2:23" ht="15.75" customHeight="1" x14ac:dyDescent="0.3">
      <c r="B45" s="324" t="s">
        <v>21</v>
      </c>
      <c r="C45" s="325"/>
      <c r="D45" s="156">
        <v>135417</v>
      </c>
      <c r="E45" s="156">
        <v>140821</v>
      </c>
      <c r="F45" s="156">
        <v>143671</v>
      </c>
      <c r="G45" s="157">
        <v>148031</v>
      </c>
      <c r="H45" s="158">
        <f>((D45*D39/H39)+(E45*E39/H39)+(F45*F39/H39)+(G45*G39/H39))</f>
        <v>141709.48848422707</v>
      </c>
      <c r="I45" s="155">
        <v>145069</v>
      </c>
      <c r="J45" s="159">
        <v>149253</v>
      </c>
      <c r="K45" s="159">
        <v>152334</v>
      </c>
      <c r="L45" s="159">
        <v>234548</v>
      </c>
      <c r="M45" s="158">
        <f>((I45*I39/M39)+(J45*J39/M39)+(K45*K39/M39)+(L45*L39/M39))</f>
        <v>171966.25087728078</v>
      </c>
      <c r="N45" s="159">
        <v>331324</v>
      </c>
      <c r="O45" s="159">
        <v>334488</v>
      </c>
      <c r="P45" s="159">
        <v>343893</v>
      </c>
      <c r="Q45" s="159">
        <f t="shared" ref="Q45:Q46" si="69">P45*(1+Q106)</f>
        <v>354209.79000000004</v>
      </c>
      <c r="R45" s="158">
        <f>((N45*N39/R39)+(O45*O39/R39)+(P45*P39/R39)+(Q45*Q39/R39))</f>
        <v>334969.99316103145</v>
      </c>
      <c r="S45" s="159">
        <f>Q45*(1+S106)</f>
        <v>364836.08370000008</v>
      </c>
      <c r="T45" s="159">
        <f t="shared" si="68"/>
        <v>375781.16621100006</v>
      </c>
      <c r="U45" s="159">
        <f t="shared" si="68"/>
        <v>390812.41285944008</v>
      </c>
      <c r="V45" s="159">
        <f t="shared" si="68"/>
        <v>398628.66111662891</v>
      </c>
      <c r="W45" s="158">
        <f>((S45*S39/W39)+(T45*T39/W39)+(U45*U39/W39)+(V45*V39/W39))</f>
        <v>389937.50195465778</v>
      </c>
    </row>
    <row r="46" spans="2:23" s="51" customFormat="1" ht="15.75" customHeight="1" x14ac:dyDescent="0.3">
      <c r="B46" s="324" t="s">
        <v>69</v>
      </c>
      <c r="C46" s="325"/>
      <c r="D46" s="156">
        <v>135417</v>
      </c>
      <c r="E46" s="156">
        <v>140821</v>
      </c>
      <c r="F46" s="156">
        <v>143671</v>
      </c>
      <c r="G46" s="157">
        <v>148031</v>
      </c>
      <c r="H46" s="158">
        <f>((D46*D41/H41)+(E46*E41/H41)+(F46*F41/H41)+(G46*G41/H41))</f>
        <v>139405.19601833972</v>
      </c>
      <c r="I46" s="155">
        <v>145069</v>
      </c>
      <c r="J46" s="159">
        <v>149253</v>
      </c>
      <c r="K46" s="159">
        <v>152334</v>
      </c>
      <c r="L46" s="159">
        <v>234548</v>
      </c>
      <c r="M46" s="158">
        <f>((I46*I41/M41)+(J46*J41/M41)+(K46*K41/M41)+(L46*L41/M41))</f>
        <v>177979.43247716717</v>
      </c>
      <c r="N46" s="159">
        <v>331324</v>
      </c>
      <c r="O46" s="159">
        <v>334488</v>
      </c>
      <c r="P46" s="159">
        <v>343893</v>
      </c>
      <c r="Q46" s="159">
        <f t="shared" si="69"/>
        <v>354209.79000000004</v>
      </c>
      <c r="R46" s="158">
        <f>((N46*N41/R41)+(O46*O41/R41)+(P46*P41/R41)+(Q46*Q41/R41))</f>
        <v>343556.82133948675</v>
      </c>
      <c r="S46" s="159">
        <f>Q46*(1+S107)</f>
        <v>364836.08370000008</v>
      </c>
      <c r="T46" s="159">
        <f t="shared" si="68"/>
        <v>375781.16621100006</v>
      </c>
      <c r="U46" s="159">
        <f t="shared" si="68"/>
        <v>390812.41285944008</v>
      </c>
      <c r="V46" s="159">
        <f t="shared" si="68"/>
        <v>398628.66111662891</v>
      </c>
      <c r="W46" s="158">
        <f>((S46*S41/W41)+(T46*T41/W41)+(U46*U41/W41)+(V46*V41/W41))</f>
        <v>382126.9079107357</v>
      </c>
    </row>
    <row r="47" spans="2:23" s="52" customFormat="1" ht="15.75" customHeight="1" x14ac:dyDescent="0.3">
      <c r="B47" s="324" t="s">
        <v>18</v>
      </c>
      <c r="C47" s="325"/>
      <c r="D47" s="36">
        <f t="shared" ref="D47:K47" si="70">D39/D44</f>
        <v>-0.32485581573953048</v>
      </c>
      <c r="E47" s="36">
        <f t="shared" si="70"/>
        <v>-0.25112731765858787</v>
      </c>
      <c r="F47" s="36">
        <f t="shared" si="70"/>
        <v>-0.26216842647437549</v>
      </c>
      <c r="G47" s="32">
        <f t="shared" si="70"/>
        <v>-0.25043403070978376</v>
      </c>
      <c r="H47" s="33">
        <f t="shared" si="70"/>
        <v>-1.0873866079698062</v>
      </c>
      <c r="I47" s="80">
        <f t="shared" si="70"/>
        <v>-0.33072537895759951</v>
      </c>
      <c r="J47" s="31">
        <f t="shared" si="70"/>
        <v>-0.19845497242936491</v>
      </c>
      <c r="K47" s="31">
        <f t="shared" si="70"/>
        <v>-0.35402470886341852</v>
      </c>
      <c r="L47" s="31">
        <f>L43/L44</f>
        <v>-0.34316643075191433</v>
      </c>
      <c r="M47" s="33">
        <f t="shared" ref="M47:W47" si="71">M39/M44</f>
        <v>-1.0456528480598306</v>
      </c>
      <c r="N47" s="31">
        <f t="shared" si="71"/>
        <v>-0.29202532868129083</v>
      </c>
      <c r="O47" s="31">
        <f t="shared" si="71"/>
        <v>-8.1751811724187412E-2</v>
      </c>
      <c r="P47" s="31">
        <f t="shared" si="71"/>
        <v>-9.3991445013419869E-2</v>
      </c>
      <c r="Q47" s="270">
        <f t="shared" si="71"/>
        <v>-7.6899462082518175E-2</v>
      </c>
      <c r="R47" s="33">
        <f t="shared" si="71"/>
        <v>-0.55227215394095963</v>
      </c>
      <c r="S47" s="270">
        <f t="shared" si="71"/>
        <v>-9.2689584469618599E-2</v>
      </c>
      <c r="T47" s="31">
        <f t="shared" si="71"/>
        <v>-0.10532709314842749</v>
      </c>
      <c r="U47" s="31">
        <f t="shared" si="71"/>
        <v>-0.10497003871950074</v>
      </c>
      <c r="V47" s="31">
        <f t="shared" si="71"/>
        <v>-0.10832045012126328</v>
      </c>
      <c r="W47" s="272">
        <f t="shared" si="71"/>
        <v>-0.39760307525127292</v>
      </c>
    </row>
    <row r="48" spans="2:23" x14ac:dyDescent="0.3">
      <c r="B48" s="360" t="s">
        <v>19</v>
      </c>
      <c r="C48" s="361"/>
      <c r="D48" s="81">
        <f t="shared" ref="D48:K48" si="72">D39/D45</f>
        <v>-0.32485581573953048</v>
      </c>
      <c r="E48" s="81">
        <f t="shared" si="72"/>
        <v>-0.25112731765858787</v>
      </c>
      <c r="F48" s="81">
        <f t="shared" si="72"/>
        <v>-0.26216842647437549</v>
      </c>
      <c r="G48" s="82">
        <f t="shared" si="72"/>
        <v>-0.25043403070978376</v>
      </c>
      <c r="H48" s="47">
        <f t="shared" si="72"/>
        <v>-1.0873866079698062</v>
      </c>
      <c r="I48" s="83">
        <f t="shared" si="72"/>
        <v>-0.33072537895759951</v>
      </c>
      <c r="J48" s="7">
        <f t="shared" si="72"/>
        <v>-0.19845497242936491</v>
      </c>
      <c r="K48" s="7">
        <f t="shared" si="72"/>
        <v>-0.35402470886341852</v>
      </c>
      <c r="L48" s="7" t="e">
        <f>#REF!/L45</f>
        <v>#REF!</v>
      </c>
      <c r="M48" s="47">
        <f t="shared" ref="M48:W48" si="73">M39/M45</f>
        <v>-1.0456528480598306</v>
      </c>
      <c r="N48" s="7">
        <f t="shared" si="73"/>
        <v>-0.29202532868129083</v>
      </c>
      <c r="O48" s="7">
        <f t="shared" si="73"/>
        <v>-8.1751811724187412E-2</v>
      </c>
      <c r="P48" s="7">
        <f t="shared" si="73"/>
        <v>-9.3991445013419869E-2</v>
      </c>
      <c r="Q48" s="271">
        <f t="shared" si="73"/>
        <v>-7.6899462082518175E-2</v>
      </c>
      <c r="R48" s="47">
        <f t="shared" si="73"/>
        <v>-0.55227215394095963</v>
      </c>
      <c r="S48" s="271">
        <f t="shared" si="73"/>
        <v>-9.2689584469618599E-2</v>
      </c>
      <c r="T48" s="7">
        <f t="shared" si="73"/>
        <v>-0.10532709314842749</v>
      </c>
      <c r="U48" s="7">
        <f t="shared" si="73"/>
        <v>-0.10497003871950074</v>
      </c>
      <c r="V48" s="7">
        <f t="shared" si="73"/>
        <v>-0.10832045012126328</v>
      </c>
      <c r="W48" s="273">
        <f t="shared" si="73"/>
        <v>-0.39760307525127292</v>
      </c>
    </row>
    <row r="49" spans="2:25" s="8" customFormat="1" x14ac:dyDescent="0.3">
      <c r="B49" s="29" t="s">
        <v>28</v>
      </c>
      <c r="C49" s="30"/>
      <c r="D49" s="156"/>
      <c r="E49" s="156"/>
      <c r="F49" s="156"/>
      <c r="G49" s="157"/>
      <c r="H49" s="158">
        <f>SUM(D49:G49)</f>
        <v>0</v>
      </c>
      <c r="I49" s="156">
        <v>0</v>
      </c>
      <c r="J49" s="159">
        <v>0</v>
      </c>
      <c r="K49" s="159">
        <v>0</v>
      </c>
      <c r="L49" s="159">
        <v>0</v>
      </c>
      <c r="M49" s="158">
        <f>SUM(I49:L49)</f>
        <v>0</v>
      </c>
      <c r="N49" s="159">
        <v>0</v>
      </c>
      <c r="O49" s="159">
        <v>0</v>
      </c>
      <c r="P49" s="31">
        <v>0</v>
      </c>
      <c r="Q49" s="250">
        <v>0</v>
      </c>
      <c r="R49" s="33">
        <f>SUM(N49:Q49)</f>
        <v>0</v>
      </c>
      <c r="S49" s="250">
        <f>N49</f>
        <v>0</v>
      </c>
      <c r="T49" s="250">
        <f t="shared" ref="T49:V49" si="74">O49</f>
        <v>0</v>
      </c>
      <c r="U49" s="250">
        <f t="shared" si="74"/>
        <v>0</v>
      </c>
      <c r="V49" s="250">
        <f t="shared" si="74"/>
        <v>0</v>
      </c>
      <c r="W49" s="33">
        <f>SUM(S49:V49)</f>
        <v>0</v>
      </c>
    </row>
    <row r="50" spans="2:25" x14ac:dyDescent="0.3">
      <c r="B50" s="17"/>
      <c r="C50" s="20"/>
      <c r="D50" s="112">
        <f t="shared" ref="D50:N50" si="75">D15-D56-D57-D59-D61</f>
        <v>0</v>
      </c>
      <c r="E50" s="112">
        <f t="shared" si="75"/>
        <v>0</v>
      </c>
      <c r="F50" s="112">
        <f t="shared" si="75"/>
        <v>0</v>
      </c>
      <c r="G50" s="112">
        <f t="shared" si="75"/>
        <v>0</v>
      </c>
      <c r="H50" s="112">
        <f t="shared" si="75"/>
        <v>0</v>
      </c>
      <c r="I50" s="112">
        <f t="shared" si="75"/>
        <v>0</v>
      </c>
      <c r="J50" s="112">
        <f t="shared" si="75"/>
        <v>0</v>
      </c>
      <c r="K50" s="112">
        <f t="shared" si="75"/>
        <v>0</v>
      </c>
      <c r="L50" s="112">
        <f t="shared" si="75"/>
        <v>0</v>
      </c>
      <c r="M50" s="112">
        <f t="shared" si="75"/>
        <v>0</v>
      </c>
      <c r="N50" s="112">
        <f t="shared" si="75"/>
        <v>0</v>
      </c>
      <c r="O50" s="112">
        <f>O15-O56-O57-O59-O61</f>
        <v>0</v>
      </c>
      <c r="P50" s="112">
        <f>ROUND((P15-P56-P57-P59-P61),0)</f>
        <v>0</v>
      </c>
      <c r="Q50" s="112">
        <f t="shared" ref="Q50:V50" si="76">ROUND((Q15-Q56-Q57-Q59-Q61),0)</f>
        <v>0</v>
      </c>
      <c r="R50" s="112">
        <f t="shared" si="76"/>
        <v>0</v>
      </c>
      <c r="S50" s="112">
        <f>ROUND((S15-S56-S57-S59-S61),0)</f>
        <v>0</v>
      </c>
      <c r="T50" s="112">
        <f t="shared" si="76"/>
        <v>0</v>
      </c>
      <c r="U50" s="112">
        <f t="shared" si="76"/>
        <v>0</v>
      </c>
      <c r="V50" s="112">
        <f t="shared" si="76"/>
        <v>0</v>
      </c>
      <c r="W50" s="112"/>
    </row>
    <row r="51" spans="2:25" ht="15.6" x14ac:dyDescent="0.3">
      <c r="B51" s="332" t="s">
        <v>17</v>
      </c>
      <c r="C51" s="333"/>
      <c r="D51" s="153" t="s">
        <v>3</v>
      </c>
      <c r="E51" s="153" t="s">
        <v>2</v>
      </c>
      <c r="F51" s="153" t="s">
        <v>1</v>
      </c>
      <c r="G51" s="153" t="s">
        <v>4</v>
      </c>
      <c r="H51" s="153" t="s">
        <v>4</v>
      </c>
      <c r="I51" s="153" t="s">
        <v>5</v>
      </c>
      <c r="J51" s="153" t="s">
        <v>6</v>
      </c>
      <c r="K51" s="153" t="s">
        <v>7</v>
      </c>
      <c r="L51" s="153" t="s">
        <v>9</v>
      </c>
      <c r="M51" s="153" t="s">
        <v>9</v>
      </c>
      <c r="N51" s="153" t="s">
        <v>10</v>
      </c>
      <c r="O51" s="153" t="s">
        <v>11</v>
      </c>
      <c r="P51" s="153" t="s">
        <v>12</v>
      </c>
      <c r="Q51" s="54" t="s">
        <v>8</v>
      </c>
      <c r="R51" s="54" t="s">
        <v>8</v>
      </c>
      <c r="S51" s="54" t="s">
        <v>13</v>
      </c>
      <c r="T51" s="54" t="s">
        <v>14</v>
      </c>
      <c r="U51" s="54" t="s">
        <v>15</v>
      </c>
      <c r="V51" s="54" t="s">
        <v>16</v>
      </c>
      <c r="W51" s="61" t="s">
        <v>16</v>
      </c>
    </row>
    <row r="52" spans="2:25" ht="16.2" x14ac:dyDescent="0.45">
      <c r="B52" s="336" t="s">
        <v>196</v>
      </c>
      <c r="C52" s="337"/>
      <c r="D52" s="154" t="s">
        <v>29</v>
      </c>
      <c r="E52" s="154" t="s">
        <v>30</v>
      </c>
      <c r="F52" s="154" t="s">
        <v>31</v>
      </c>
      <c r="G52" s="154" t="s">
        <v>32</v>
      </c>
      <c r="H52" s="154" t="s">
        <v>23</v>
      </c>
      <c r="I52" s="154" t="s">
        <v>33</v>
      </c>
      <c r="J52" s="154" t="s">
        <v>34</v>
      </c>
      <c r="K52" s="154" t="s">
        <v>40</v>
      </c>
      <c r="L52" s="154" t="s">
        <v>75</v>
      </c>
      <c r="M52" s="154" t="s">
        <v>76</v>
      </c>
      <c r="N52" s="154" t="s">
        <v>130</v>
      </c>
      <c r="O52" s="154" t="s">
        <v>131</v>
      </c>
      <c r="P52" s="154" t="s">
        <v>226</v>
      </c>
      <c r="Q52" s="55" t="s">
        <v>35</v>
      </c>
      <c r="R52" s="55" t="s">
        <v>24</v>
      </c>
      <c r="S52" s="55" t="s">
        <v>36</v>
      </c>
      <c r="T52" s="55" t="s">
        <v>37</v>
      </c>
      <c r="U52" s="55" t="s">
        <v>38</v>
      </c>
      <c r="V52" s="55" t="s">
        <v>39</v>
      </c>
      <c r="W52" s="62" t="s">
        <v>25</v>
      </c>
    </row>
    <row r="53" spans="2:25" s="67" customFormat="1" ht="14.4" customHeight="1" outlineLevel="1" x14ac:dyDescent="0.3">
      <c r="B53" s="324" t="s">
        <v>195</v>
      </c>
      <c r="C53" s="325"/>
      <c r="D53" s="155">
        <v>4605</v>
      </c>
      <c r="E53" s="156">
        <v>5789</v>
      </c>
      <c r="F53" s="156">
        <v>6430</v>
      </c>
      <c r="G53" s="157">
        <v>6955</v>
      </c>
      <c r="H53" s="158">
        <f>SUM(D53:G53)</f>
        <v>23779</v>
      </c>
      <c r="I53" s="155">
        <v>7117</v>
      </c>
      <c r="J53" s="159">
        <v>8793</v>
      </c>
      <c r="K53" s="159">
        <v>9540</v>
      </c>
      <c r="L53" s="159">
        <v>10193</v>
      </c>
      <c r="M53" s="158">
        <f>SUM(I53:L53)</f>
        <v>35643</v>
      </c>
      <c r="N53" s="159">
        <v>10290</v>
      </c>
      <c r="O53" s="159">
        <v>12451</v>
      </c>
      <c r="P53" s="37">
        <v>13248</v>
      </c>
      <c r="Q53" s="37">
        <f>P53*(1+Q54)</f>
        <v>13777.92</v>
      </c>
      <c r="R53" s="27">
        <f>SUM(N53:Q53)</f>
        <v>49766.92</v>
      </c>
      <c r="S53" s="37">
        <f>Q53*(1+S54)</f>
        <v>14053.4784</v>
      </c>
      <c r="T53" s="37">
        <f>S53*(1+T54)</f>
        <v>16161.50016</v>
      </c>
      <c r="U53" s="37">
        <f t="shared" ref="U53:V53" si="77">T53*(1+U54)</f>
        <v>16969.575167999999</v>
      </c>
      <c r="V53" s="37">
        <f t="shared" si="77"/>
        <v>17478.662423040001</v>
      </c>
      <c r="W53" s="27">
        <f>SUM(S53:V53)</f>
        <v>64663.216151040004</v>
      </c>
      <c r="Y53" s="239"/>
    </row>
    <row r="54" spans="2:25" s="67" customFormat="1" ht="14.4" customHeight="1" outlineLevel="1" x14ac:dyDescent="0.3">
      <c r="B54" s="276" t="s">
        <v>215</v>
      </c>
      <c r="C54" s="277"/>
      <c r="D54" s="303"/>
      <c r="E54" s="303">
        <f t="shared" ref="E54" si="78">E53/D53-1</f>
        <v>0.25711183496199785</v>
      </c>
      <c r="F54" s="303">
        <f t="shared" ref="F54" si="79">F53/E53-1</f>
        <v>0.11072724131974443</v>
      </c>
      <c r="G54" s="303">
        <f>G53/F53-1</f>
        <v>8.1648522550544333E-2</v>
      </c>
      <c r="H54" s="158"/>
      <c r="I54" s="303">
        <f>I53/G53-1</f>
        <v>2.3292595255212101E-2</v>
      </c>
      <c r="J54" s="303">
        <f t="shared" ref="J54:K54" si="80">J53/I53-1</f>
        <v>0.23549248278769142</v>
      </c>
      <c r="K54" s="303">
        <f t="shared" si="80"/>
        <v>8.4953940634595604E-2</v>
      </c>
      <c r="L54" s="303">
        <f>L53/K53-1</f>
        <v>6.8448637316561811E-2</v>
      </c>
      <c r="M54" s="304">
        <f>M53/H53-1</f>
        <v>0.49892762521552636</v>
      </c>
      <c r="N54" s="303">
        <f>N53/L53-1</f>
        <v>9.5163347395270659E-3</v>
      </c>
      <c r="O54" s="303">
        <f>O53/N53-1</f>
        <v>0.21000971817298342</v>
      </c>
      <c r="P54" s="303">
        <f>P53/O53-1</f>
        <v>6.401092281744436E-2</v>
      </c>
      <c r="Q54" s="28">
        <v>0.04</v>
      </c>
      <c r="R54" s="304">
        <f>R53/M53-1</f>
        <v>0.39626069634991445</v>
      </c>
      <c r="S54" s="28">
        <v>0.02</v>
      </c>
      <c r="T54" s="28">
        <v>0.15</v>
      </c>
      <c r="U54" s="28">
        <v>0.05</v>
      </c>
      <c r="V54" s="28">
        <v>0.03</v>
      </c>
      <c r="W54" s="304">
        <f>W53/R53-1</f>
        <v>0.29932123890809414</v>
      </c>
      <c r="Y54" s="239"/>
    </row>
    <row r="55" spans="2:25" s="67" customFormat="1" ht="14.4" customHeight="1" outlineLevel="1" x14ac:dyDescent="0.3">
      <c r="B55" s="276" t="s">
        <v>210</v>
      </c>
      <c r="C55" s="277"/>
      <c r="D55" s="155"/>
      <c r="E55" s="159">
        <f t="shared" ref="E55:F55" si="81">E56/E53</f>
        <v>29.865952668854725</v>
      </c>
      <c r="F55" s="159">
        <f t="shared" si="81"/>
        <v>29.791601866251945</v>
      </c>
      <c r="G55" s="159">
        <f t="shared" ref="G55" si="82">G56/G53</f>
        <v>29.666570812365205</v>
      </c>
      <c r="H55" s="158"/>
      <c r="I55" s="159">
        <f t="shared" ref="I55:J55" si="83">I56/I53</f>
        <v>29.662779260924548</v>
      </c>
      <c r="J55" s="159">
        <f t="shared" si="83"/>
        <v>29.553508472648698</v>
      </c>
      <c r="K55" s="159">
        <f>K56/K53</f>
        <v>29.45020964360587</v>
      </c>
      <c r="L55" s="159">
        <f>L56/L53</f>
        <v>29.286373001079173</v>
      </c>
      <c r="M55" s="158"/>
      <c r="N55" s="159">
        <f>N56/N53</f>
        <v>29.198542274052478</v>
      </c>
      <c r="O55" s="159">
        <f>O56/O53</f>
        <v>29.303991647257249</v>
      </c>
      <c r="P55" s="159">
        <f>P56/P53</f>
        <v>29.313632246376812</v>
      </c>
      <c r="Q55" s="133">
        <v>29</v>
      </c>
      <c r="R55" s="27"/>
      <c r="S55" s="133">
        <v>29</v>
      </c>
      <c r="T55" s="133">
        <v>29</v>
      </c>
      <c r="U55" s="133">
        <v>29</v>
      </c>
      <c r="V55" s="133">
        <v>29</v>
      </c>
      <c r="W55" s="27"/>
      <c r="Y55" s="239"/>
    </row>
    <row r="56" spans="2:25" s="67" customFormat="1" ht="14.4" customHeight="1" outlineLevel="1" x14ac:dyDescent="0.3">
      <c r="B56" s="330" t="s">
        <v>216</v>
      </c>
      <c r="C56" s="331"/>
      <c r="D56" s="288">
        <v>137014</v>
      </c>
      <c r="E56" s="289">
        <v>172894</v>
      </c>
      <c r="F56" s="289">
        <v>191560</v>
      </c>
      <c r="G56" s="290">
        <v>206331</v>
      </c>
      <c r="H56" s="291">
        <f>SUM(D56:G56)</f>
        <v>707799</v>
      </c>
      <c r="I56" s="288">
        <v>211110</v>
      </c>
      <c r="J56" s="292">
        <v>259864</v>
      </c>
      <c r="K56" s="292">
        <v>280955</v>
      </c>
      <c r="L56" s="292">
        <v>298516</v>
      </c>
      <c r="M56" s="291">
        <f>SUM(I56:L56)</f>
        <v>1050445</v>
      </c>
      <c r="N56" s="292">
        <v>300453</v>
      </c>
      <c r="O56" s="292">
        <v>364864</v>
      </c>
      <c r="P56" s="293">
        <v>388347</v>
      </c>
      <c r="Q56" s="293">
        <f>Q55*Q53</f>
        <v>399559.67999999999</v>
      </c>
      <c r="R56" s="291">
        <f>SUM(N56:Q56)</f>
        <v>1453223.68</v>
      </c>
      <c r="S56" s="293">
        <f>S55*S53</f>
        <v>407550.87359999999</v>
      </c>
      <c r="T56" s="293">
        <f t="shared" ref="T56:V56" si="84">T55*T53</f>
        <v>468683.50464</v>
      </c>
      <c r="U56" s="293">
        <f t="shared" si="84"/>
        <v>492117.67987200001</v>
      </c>
      <c r="V56" s="293">
        <f t="shared" si="84"/>
        <v>506881.21026816004</v>
      </c>
      <c r="W56" s="291">
        <f>SUM(S56:V56)</f>
        <v>1875233.2683801602</v>
      </c>
      <c r="Y56" s="239"/>
    </row>
    <row r="57" spans="2:25" s="67" customFormat="1" ht="14.4" customHeight="1" outlineLevel="1" x14ac:dyDescent="0.3">
      <c r="B57" s="108" t="s">
        <v>132</v>
      </c>
      <c r="C57" s="109"/>
      <c r="D57" s="155">
        <v>26466</v>
      </c>
      <c r="E57" s="156">
        <v>30147</v>
      </c>
      <c r="F57" s="156">
        <v>29895</v>
      </c>
      <c r="G57" s="157">
        <v>36516</v>
      </c>
      <c r="H57" s="158">
        <f t="shared" ref="H57" si="85">SUM(D57:G57)</f>
        <v>123024</v>
      </c>
      <c r="I57" s="155">
        <v>29237</v>
      </c>
      <c r="J57" s="159">
        <v>33630</v>
      </c>
      <c r="K57" s="159">
        <v>32332</v>
      </c>
      <c r="L57" s="159">
        <v>47084</v>
      </c>
      <c r="M57" s="158">
        <f t="shared" ref="M57" si="86">SUM(I57:L57)</f>
        <v>142283</v>
      </c>
      <c r="N57" s="159">
        <v>38838</v>
      </c>
      <c r="O57" s="159">
        <v>32867</v>
      </c>
      <c r="P57" s="37">
        <v>7164</v>
      </c>
      <c r="Q57" s="37">
        <f>P57*(1+Q58)</f>
        <v>0</v>
      </c>
      <c r="R57" s="27">
        <f>SUM(N57:Q57)</f>
        <v>78869</v>
      </c>
      <c r="S57" s="37">
        <f>Q57*(1+S58)</f>
        <v>0</v>
      </c>
      <c r="T57" s="37">
        <f>S57*(1+T58)</f>
        <v>0</v>
      </c>
      <c r="U57" s="37">
        <f>T57*(1+U58)</f>
        <v>0</v>
      </c>
      <c r="V57" s="37">
        <f>U57*(1+V58)</f>
        <v>0</v>
      </c>
      <c r="W57" s="27">
        <f>SUM(S57:V57)</f>
        <v>0</v>
      </c>
    </row>
    <row r="58" spans="2:25" s="67" customFormat="1" ht="14.4" customHeight="1" outlineLevel="1" x14ac:dyDescent="0.3">
      <c r="B58" s="286" t="s">
        <v>183</v>
      </c>
      <c r="C58" s="287"/>
      <c r="D58" s="293"/>
      <c r="E58" s="295">
        <f>E57/D57-1</f>
        <v>0.13908410791203818</v>
      </c>
      <c r="F58" s="295">
        <f t="shared" ref="F58" si="87">F57/E57-1</f>
        <v>-8.3590407005672551E-3</v>
      </c>
      <c r="G58" s="295">
        <f t="shared" ref="G58" si="88">G57/F57-1</f>
        <v>0.22147516307074766</v>
      </c>
      <c r="H58" s="294"/>
      <c r="I58" s="295">
        <f>I57/G57-1</f>
        <v>-0.19933727681016544</v>
      </c>
      <c r="J58" s="295">
        <f t="shared" ref="J58" si="89">J57/I57-1</f>
        <v>0.1502548141054143</v>
      </c>
      <c r="K58" s="295">
        <f t="shared" ref="K58" si="90">K57/J57-1</f>
        <v>-3.8596491228070184E-2</v>
      </c>
      <c r="L58" s="295">
        <f t="shared" ref="L58" si="91">L57/K57-1</f>
        <v>0.45626623778300135</v>
      </c>
      <c r="M58" s="296">
        <f>M57/H57-1</f>
        <v>0.15654669007673294</v>
      </c>
      <c r="N58" s="295">
        <f>N57/L57-1</f>
        <v>-0.17513380341517293</v>
      </c>
      <c r="O58" s="295">
        <f t="shared" ref="O58:P58" si="92">O57/N57-1</f>
        <v>-0.15374118131726655</v>
      </c>
      <c r="P58" s="295">
        <f t="shared" si="92"/>
        <v>-0.78203060820884174</v>
      </c>
      <c r="Q58" s="298">
        <v>-1</v>
      </c>
      <c r="R58" s="296">
        <f>R57/M57-1</f>
        <v>-0.44568922499525598</v>
      </c>
      <c r="S58" s="297">
        <v>0</v>
      </c>
      <c r="T58" s="297">
        <f t="shared" ref="T58:V58" si="93">S58</f>
        <v>0</v>
      </c>
      <c r="U58" s="297">
        <f t="shared" si="93"/>
        <v>0</v>
      </c>
      <c r="V58" s="297">
        <f t="shared" si="93"/>
        <v>0</v>
      </c>
      <c r="W58" s="296">
        <f>W57/R57-1</f>
        <v>-1</v>
      </c>
    </row>
    <row r="59" spans="2:25" s="114" customFormat="1" ht="14.4" customHeight="1" outlineLevel="1" x14ac:dyDescent="0.3">
      <c r="B59" s="324" t="s">
        <v>184</v>
      </c>
      <c r="C59" s="325"/>
      <c r="D59" s="155">
        <v>523</v>
      </c>
      <c r="E59" s="156">
        <v>1766</v>
      </c>
      <c r="F59" s="156">
        <v>3733</v>
      </c>
      <c r="G59" s="157">
        <v>6024</v>
      </c>
      <c r="H59" s="158">
        <f t="shared" ref="H59" si="94">SUM(D59:G59)</f>
        <v>12046</v>
      </c>
      <c r="I59" s="155">
        <v>8006</v>
      </c>
      <c r="J59" s="159">
        <v>12928</v>
      </c>
      <c r="K59" s="159">
        <v>14694</v>
      </c>
      <c r="L59" s="159">
        <v>22385</v>
      </c>
      <c r="M59" s="158">
        <f t="shared" ref="M59" si="95">SUM(I59:L59)</f>
        <v>58013</v>
      </c>
      <c r="N59" s="159">
        <v>23796</v>
      </c>
      <c r="O59" s="159">
        <v>29717</v>
      </c>
      <c r="P59" s="37">
        <v>35320</v>
      </c>
      <c r="Q59" s="37">
        <f>P59*(1+Q60)</f>
        <v>37086</v>
      </c>
      <c r="R59" s="27">
        <f>SUM(N59:Q59)</f>
        <v>125919</v>
      </c>
      <c r="S59" s="37">
        <f>Q59*(1+S60)</f>
        <v>39311.160000000003</v>
      </c>
      <c r="T59" s="37">
        <f>S59*(1+T60)</f>
        <v>47173.392</v>
      </c>
      <c r="U59" s="37">
        <f>T59*(1+U60)</f>
        <v>51890.731200000002</v>
      </c>
      <c r="V59" s="37">
        <f>U59*(1+V60)</f>
        <v>57079.80432000001</v>
      </c>
      <c r="W59" s="27">
        <f>SUM(S59:V59)</f>
        <v>195455.08752</v>
      </c>
      <c r="Y59" s="308"/>
    </row>
    <row r="60" spans="2:25" s="113" customFormat="1" ht="14.4" customHeight="1" outlineLevel="1" x14ac:dyDescent="0.3">
      <c r="B60" s="330" t="s">
        <v>185</v>
      </c>
      <c r="C60" s="331"/>
      <c r="D60" s="299"/>
      <c r="E60" s="295">
        <f>E59/D59-1</f>
        <v>2.3766730401529639</v>
      </c>
      <c r="F60" s="295">
        <f t="shared" ref="F60" si="96">F59/E59-1</f>
        <v>1.1138165345413364</v>
      </c>
      <c r="G60" s="295">
        <f t="shared" ref="G60" si="97">G59/F59-1</f>
        <v>0.61371551031342086</v>
      </c>
      <c r="H60" s="300"/>
      <c r="I60" s="295">
        <f>I59/G59-1</f>
        <v>0.32901726427622835</v>
      </c>
      <c r="J60" s="295">
        <f t="shared" ref="J60" si="98">J59/I59-1</f>
        <v>0.61478890831876098</v>
      </c>
      <c r="K60" s="295">
        <f t="shared" ref="K60" si="99">K59/J59-1</f>
        <v>0.13660272277227725</v>
      </c>
      <c r="L60" s="295">
        <f t="shared" ref="L60" si="100">L59/K59-1</f>
        <v>0.52341091602014433</v>
      </c>
      <c r="M60" s="296">
        <f>M59/H59-1</f>
        <v>3.8159555039017103</v>
      </c>
      <c r="N60" s="295">
        <f>N59/L59-1</f>
        <v>6.3033281215099324E-2</v>
      </c>
      <c r="O60" s="295">
        <f>O59/N59-1</f>
        <v>0.24882333165237847</v>
      </c>
      <c r="P60" s="295">
        <f>P59/O59-1</f>
        <v>0.18854527711410984</v>
      </c>
      <c r="Q60" s="297">
        <v>0.05</v>
      </c>
      <c r="R60" s="296">
        <f>R59/M59-1</f>
        <v>1.1705307431093033</v>
      </c>
      <c r="S60" s="297">
        <v>0.06</v>
      </c>
      <c r="T60" s="297">
        <v>0.2</v>
      </c>
      <c r="U60" s="297">
        <v>0.1</v>
      </c>
      <c r="V60" s="297">
        <v>0.1</v>
      </c>
      <c r="W60" s="296">
        <f>W59/R59-1</f>
        <v>0.55222871464989409</v>
      </c>
    </row>
    <row r="61" spans="2:25" s="67" customFormat="1" ht="14.4" customHeight="1" outlineLevel="1" x14ac:dyDescent="0.3">
      <c r="B61" s="108" t="s">
        <v>186</v>
      </c>
      <c r="C61" s="238"/>
      <c r="D61" s="156">
        <v>1079</v>
      </c>
      <c r="E61" s="156">
        <v>1989</v>
      </c>
      <c r="F61" s="156">
        <v>2232</v>
      </c>
      <c r="G61" s="156">
        <v>2023</v>
      </c>
      <c r="H61" s="158">
        <f t="shared" ref="H61" si="101">SUM(D61:G61)</f>
        <v>7323</v>
      </c>
      <c r="I61" s="156">
        <v>2204</v>
      </c>
      <c r="J61" s="159">
        <v>3591</v>
      </c>
      <c r="K61" s="159">
        <v>4207</v>
      </c>
      <c r="L61" s="159">
        <v>6375</v>
      </c>
      <c r="M61" s="158">
        <f t="shared" ref="M61" si="102">SUM(I61:L61)</f>
        <v>16377</v>
      </c>
      <c r="N61" s="159">
        <v>16182</v>
      </c>
      <c r="O61" s="159">
        <v>11085</v>
      </c>
      <c r="P61" s="37">
        <v>8171</v>
      </c>
      <c r="Q61" s="37">
        <f>P61*(1+Q62)</f>
        <v>6046.54</v>
      </c>
      <c r="R61" s="27">
        <f>SUM(N61:Q61)</f>
        <v>41484.54</v>
      </c>
      <c r="S61" s="37">
        <f>Q61*(1+S62)</f>
        <v>5441.8860000000004</v>
      </c>
      <c r="T61" s="37">
        <f>S61*(1+T62)</f>
        <v>5006.5351200000005</v>
      </c>
      <c r="U61" s="37">
        <f>T61*(1+U62)</f>
        <v>4606.0123104000004</v>
      </c>
      <c r="V61" s="37">
        <f>U61*(1+V62)</f>
        <v>4237.5313255680003</v>
      </c>
      <c r="W61" s="27">
        <f>SUM(S61:V61)</f>
        <v>19291.964755968002</v>
      </c>
    </row>
    <row r="62" spans="2:25" s="67" customFormat="1" outlineLevel="1" x14ac:dyDescent="0.3">
      <c r="B62" s="286" t="s">
        <v>187</v>
      </c>
      <c r="C62" s="287"/>
      <c r="D62" s="293"/>
      <c r="E62" s="295">
        <f>E61/D61-1</f>
        <v>0.84337349397590367</v>
      </c>
      <c r="F62" s="295">
        <f t="shared" ref="F62" si="103">F61/E61-1</f>
        <v>0.12217194570135748</v>
      </c>
      <c r="G62" s="295">
        <f t="shared" ref="G62" si="104">G61/F61-1</f>
        <v>-9.3637992831541172E-2</v>
      </c>
      <c r="H62" s="294"/>
      <c r="I62" s="295">
        <f>I61/G61-1</f>
        <v>8.9471082550667269E-2</v>
      </c>
      <c r="J62" s="295">
        <f t="shared" ref="J62" si="105">J61/I61-1</f>
        <v>0.6293103448275863</v>
      </c>
      <c r="K62" s="295">
        <f t="shared" ref="K62" si="106">K61/J61-1</f>
        <v>0.17153996101364521</v>
      </c>
      <c r="L62" s="295">
        <f t="shared" ref="L62" si="107">L61/K61-1</f>
        <v>0.51533159020679808</v>
      </c>
      <c r="M62" s="296">
        <f>M61/H61-1</f>
        <v>1.2363785333879558</v>
      </c>
      <c r="N62" s="295">
        <f>N61/L61-1</f>
        <v>1.5383529411764707</v>
      </c>
      <c r="O62" s="295">
        <f t="shared" ref="O62:P62" si="108">O61/N61-1</f>
        <v>-0.31497960697070815</v>
      </c>
      <c r="P62" s="295">
        <f t="shared" si="108"/>
        <v>-0.26287776274244479</v>
      </c>
      <c r="Q62" s="297">
        <v>-0.26</v>
      </c>
      <c r="R62" s="296">
        <f>R61/M61-1</f>
        <v>1.5330976369298406</v>
      </c>
      <c r="S62" s="297">
        <v>-0.1</v>
      </c>
      <c r="T62" s="297">
        <v>-0.08</v>
      </c>
      <c r="U62" s="297">
        <v>-0.08</v>
      </c>
      <c r="V62" s="297">
        <v>-0.08</v>
      </c>
      <c r="W62" s="296">
        <f>W61/R61-1</f>
        <v>-0.5349601380184521</v>
      </c>
    </row>
    <row r="63" spans="2:25" s="67" customFormat="1" outlineLevel="1" x14ac:dyDescent="0.3">
      <c r="B63" s="232"/>
      <c r="C63" s="233"/>
      <c r="D63" s="37"/>
      <c r="E63" s="85"/>
      <c r="F63" s="85"/>
      <c r="G63" s="85"/>
      <c r="H63" s="27"/>
      <c r="I63" s="85"/>
      <c r="J63" s="85"/>
      <c r="K63" s="85"/>
      <c r="L63" s="85"/>
      <c r="M63" s="86"/>
      <c r="N63" s="85"/>
      <c r="O63" s="85"/>
      <c r="P63" s="78"/>
      <c r="Q63" s="78"/>
      <c r="R63" s="79"/>
      <c r="S63" s="78"/>
      <c r="T63" s="78"/>
      <c r="U63" s="78"/>
      <c r="V63" s="78"/>
      <c r="W63" s="79"/>
    </row>
    <row r="64" spans="2:25" s="51" customFormat="1" x14ac:dyDescent="0.3">
      <c r="B64" s="350" t="s">
        <v>87</v>
      </c>
      <c r="C64" s="351"/>
      <c r="D64" s="68"/>
      <c r="E64" s="68"/>
      <c r="F64" s="68"/>
      <c r="G64" s="68"/>
      <c r="H64" s="69"/>
      <c r="I64" s="70"/>
      <c r="J64" s="70"/>
      <c r="K64" s="70"/>
      <c r="L64" s="70"/>
      <c r="M64" s="69"/>
      <c r="N64" s="70"/>
      <c r="O64" s="70"/>
      <c r="P64" s="70"/>
      <c r="Q64" s="70"/>
      <c r="R64" s="69"/>
      <c r="S64" s="70"/>
      <c r="T64" s="70"/>
      <c r="U64" s="70"/>
      <c r="V64" s="70"/>
      <c r="W64" s="69"/>
      <c r="Y64" s="67"/>
    </row>
    <row r="65" spans="2:25" s="52" customFormat="1" outlineLevel="1" x14ac:dyDescent="0.3">
      <c r="B65" s="278" t="s">
        <v>211</v>
      </c>
      <c r="C65" s="279"/>
      <c r="D65" s="85">
        <f>(D11-D16)/D11</f>
        <v>0.37031982133212665</v>
      </c>
      <c r="E65" s="85">
        <f>(E11-E16)/E11</f>
        <v>0.36492301641468183</v>
      </c>
      <c r="F65" s="85">
        <f>(F11-F16)/F11</f>
        <v>0.36090519941532678</v>
      </c>
      <c r="G65" s="85">
        <f>(G11-G16)/G11</f>
        <v>0.3585210172005176</v>
      </c>
      <c r="H65" s="301"/>
      <c r="I65" s="85">
        <f>(I11-I16)/I11</f>
        <v>0.37422670645634976</v>
      </c>
      <c r="J65" s="85">
        <f>(J11-J16)/J11</f>
        <v>0.36188544777268111</v>
      </c>
      <c r="K65" s="85">
        <f>(K11-K16)/K11</f>
        <v>0.35218451353419589</v>
      </c>
      <c r="L65" s="85">
        <f>(L11-L16)/L11</f>
        <v>0.35437296493320292</v>
      </c>
      <c r="M65" s="301"/>
      <c r="N65" s="85">
        <f t="shared" ref="N65:P66" si="109">(N11-N16)/N11</f>
        <v>0.35338971486388887</v>
      </c>
      <c r="O65" s="85">
        <f t="shared" si="109"/>
        <v>0.35631632608314329</v>
      </c>
      <c r="P65" s="85">
        <f t="shared" si="109"/>
        <v>0.34578868898176118</v>
      </c>
      <c r="Q65" s="28">
        <v>0.35</v>
      </c>
      <c r="R65" s="301"/>
      <c r="S65" s="28">
        <v>0.36</v>
      </c>
      <c r="T65" s="28">
        <v>0.35</v>
      </c>
      <c r="U65" s="28">
        <v>0.35</v>
      </c>
      <c r="V65" s="28">
        <v>0.35</v>
      </c>
      <c r="W65" s="301"/>
      <c r="Y65" s="113"/>
    </row>
    <row r="66" spans="2:25" s="52" customFormat="1" outlineLevel="1" x14ac:dyDescent="0.3">
      <c r="B66" s="284" t="s">
        <v>212</v>
      </c>
      <c r="C66" s="285"/>
      <c r="D66" s="85">
        <f>(D12-D17)/D12</f>
        <v>-0.24748734225043453</v>
      </c>
      <c r="E66" s="85">
        <f t="shared" ref="E66:G68" si="110">(E12-E17)/E12</f>
        <v>-0.2437721829701131</v>
      </c>
      <c r="F66" s="85">
        <f t="shared" si="110"/>
        <v>-0.25027596588058204</v>
      </c>
      <c r="G66" s="85">
        <f t="shared" si="110"/>
        <v>-0.17937342534779274</v>
      </c>
      <c r="H66" s="301"/>
      <c r="I66" s="85">
        <f>(I12-I17)/I12</f>
        <v>-0.23853336525635324</v>
      </c>
      <c r="J66" s="85">
        <f t="shared" ref="J66:L66" si="111">(J12-J17)/J12</f>
        <v>-0.2168004757656854</v>
      </c>
      <c r="K66" s="85">
        <f t="shared" si="111"/>
        <v>-0.28077446492638869</v>
      </c>
      <c r="L66" s="85">
        <f t="shared" si="111"/>
        <v>3.992863817857446E-3</v>
      </c>
      <c r="M66" s="301"/>
      <c r="N66" s="85">
        <f t="shared" si="109"/>
        <v>5.7366496730006697E-2</v>
      </c>
      <c r="O66" s="85">
        <f t="shared" si="109"/>
        <v>0.12763562235677123</v>
      </c>
      <c r="P66" s="85">
        <f t="shared" si="109"/>
        <v>0.36795086543830263</v>
      </c>
      <c r="Q66" s="298">
        <v>-1</v>
      </c>
      <c r="R66" s="301"/>
      <c r="S66" s="28">
        <v>0</v>
      </c>
      <c r="T66" s="28">
        <v>0</v>
      </c>
      <c r="U66" s="28">
        <v>0</v>
      </c>
      <c r="V66" s="28">
        <v>0</v>
      </c>
      <c r="W66" s="301"/>
      <c r="Y66" s="113"/>
    </row>
    <row r="67" spans="2:25" s="52" customFormat="1" outlineLevel="1" x14ac:dyDescent="0.3">
      <c r="B67" s="284" t="s">
        <v>213</v>
      </c>
      <c r="C67" s="285"/>
      <c r="D67" s="85">
        <f t="shared" ref="D67:D68" si="112">(D13-D18)/D13</f>
        <v>0.97323135755258128</v>
      </c>
      <c r="E67" s="85">
        <f t="shared" si="110"/>
        <v>0.98244620611551525</v>
      </c>
      <c r="F67" s="85">
        <f t="shared" si="110"/>
        <v>0.73560139298151617</v>
      </c>
      <c r="G67" s="85">
        <f t="shared" si="110"/>
        <v>0.6777888446215139</v>
      </c>
      <c r="H67" s="301"/>
      <c r="I67" s="85">
        <f t="shared" ref="I67" si="113">(I13-I18)/I13</f>
        <v>0.60592055958031477</v>
      </c>
      <c r="J67" s="85">
        <f t="shared" ref="J67" si="114">(J13-J18)/J13</f>
        <v>0.60767326732673266</v>
      </c>
      <c r="K67" s="85">
        <f t="shared" ref="K67" si="115">(K13-K18)/K13</f>
        <v>0.6193684497073636</v>
      </c>
      <c r="L67" s="85">
        <f t="shared" ref="L67" si="116">(L13-L18)/L13</f>
        <v>0.61358052267143182</v>
      </c>
      <c r="M67" s="301"/>
      <c r="N67" s="85">
        <f t="shared" ref="N67:P68" si="117">(N13-N18)/N13</f>
        <v>0.62039838628340893</v>
      </c>
      <c r="O67" s="85">
        <f t="shared" si="117"/>
        <v>0.65864656593868831</v>
      </c>
      <c r="P67" s="85">
        <f t="shared" si="117"/>
        <v>0.64541336353340883</v>
      </c>
      <c r="Q67" s="28">
        <f>P67</f>
        <v>0.64541336353340883</v>
      </c>
      <c r="R67" s="301"/>
      <c r="S67" s="28">
        <f>Q67</f>
        <v>0.64541336353340883</v>
      </c>
      <c r="T67" s="28">
        <f t="shared" ref="T67:V68" si="118">S67</f>
        <v>0.64541336353340883</v>
      </c>
      <c r="U67" s="28">
        <f t="shared" si="118"/>
        <v>0.64541336353340883</v>
      </c>
      <c r="V67" s="28">
        <f t="shared" si="118"/>
        <v>0.64541336353340883</v>
      </c>
      <c r="W67" s="301"/>
      <c r="Y67" s="113"/>
    </row>
    <row r="68" spans="2:25" s="52" customFormat="1" outlineLevel="1" x14ac:dyDescent="0.3">
      <c r="B68" s="284" t="s">
        <v>214</v>
      </c>
      <c r="C68" s="285"/>
      <c r="D68" s="85">
        <f t="shared" si="112"/>
        <v>-2.1890639481000926</v>
      </c>
      <c r="E68" s="85">
        <f t="shared" si="110"/>
        <v>-1.4756158873805933</v>
      </c>
      <c r="F68" s="85">
        <f t="shared" si="110"/>
        <v>-1.3127240143369177</v>
      </c>
      <c r="G68" s="85">
        <f t="shared" si="110"/>
        <v>-1.3741967375185369</v>
      </c>
      <c r="H68" s="301"/>
      <c r="I68" s="85">
        <f t="shared" ref="I68" si="119">(I14-I19)/I14</f>
        <v>-0.90426497277676954</v>
      </c>
      <c r="J68" s="85">
        <f t="shared" ref="J68" si="120">(J14-J19)/J14</f>
        <v>-0.86939571150097461</v>
      </c>
      <c r="K68" s="85">
        <f t="shared" ref="K68" si="121">(K14-K19)/K14</f>
        <v>-0.36106489184692181</v>
      </c>
      <c r="L68" s="85">
        <f t="shared" ref="L68" si="122">(L14-L19)/L14</f>
        <v>-1.2334117647058824</v>
      </c>
      <c r="M68" s="301"/>
      <c r="N68" s="85">
        <f t="shared" si="117"/>
        <v>-0.65245334322086268</v>
      </c>
      <c r="O68" s="85">
        <f t="shared" si="117"/>
        <v>-0.26432115471357692</v>
      </c>
      <c r="P68" s="85">
        <f t="shared" si="117"/>
        <v>-0.92008322114796226</v>
      </c>
      <c r="Q68" s="28">
        <f>P68</f>
        <v>-0.92008322114796226</v>
      </c>
      <c r="R68" s="301"/>
      <c r="S68" s="28">
        <f>Q68</f>
        <v>-0.92008322114796226</v>
      </c>
      <c r="T68" s="28">
        <f t="shared" si="118"/>
        <v>-0.92008322114796226</v>
      </c>
      <c r="U68" s="28">
        <f t="shared" si="118"/>
        <v>-0.92008322114796226</v>
      </c>
      <c r="V68" s="28">
        <f t="shared" si="118"/>
        <v>-0.92008322114796226</v>
      </c>
      <c r="W68" s="301"/>
      <c r="Y68" s="113"/>
    </row>
    <row r="69" spans="2:25" s="46" customFormat="1" outlineLevel="1" x14ac:dyDescent="0.3">
      <c r="B69" s="346" t="s">
        <v>188</v>
      </c>
      <c r="C69" s="347"/>
      <c r="D69" s="85">
        <f>D25/D15</f>
        <v>0.18737960528706946</v>
      </c>
      <c r="E69" s="85">
        <f t="shared" ref="E69:G69" si="123">E25/E15</f>
        <v>0.16707769976208436</v>
      </c>
      <c r="F69" s="85">
        <f t="shared" si="123"/>
        <v>0.17361269897106674</v>
      </c>
      <c r="G69" s="85">
        <f t="shared" si="123"/>
        <v>0.15811458225386019</v>
      </c>
      <c r="H69" s="86">
        <f>H25/H15</f>
        <v>0.17012274874381317</v>
      </c>
      <c r="I69" s="85">
        <f>I25/I15</f>
        <v>0.15782835841744594</v>
      </c>
      <c r="J69" s="85">
        <f t="shared" ref="J69:L69" si="124">J25/J15</f>
        <v>0.14801637350691746</v>
      </c>
      <c r="K69" s="85">
        <f t="shared" si="124"/>
        <v>0.16562910159307381</v>
      </c>
      <c r="L69" s="85">
        <f t="shared" si="124"/>
        <v>0.15809915589272358</v>
      </c>
      <c r="M69" s="86">
        <f>M25/M11</f>
        <v>0.19005088319712121</v>
      </c>
      <c r="N69" s="85">
        <f>N25/N15</f>
        <v>0.17030656341541228</v>
      </c>
      <c r="O69" s="85">
        <f>O25/O15</f>
        <v>0.15651729744397799</v>
      </c>
      <c r="P69" s="85">
        <f>P25/P15</f>
        <v>0.16040473619710161</v>
      </c>
      <c r="Q69" s="28">
        <f t="shared" ref="Q69:Q73" si="125">P69</f>
        <v>0.16040473619710161</v>
      </c>
      <c r="R69" s="34">
        <f>R25/$R$15</f>
        <v>0.16161137961554825</v>
      </c>
      <c r="S69" s="28">
        <f>Q69</f>
        <v>0.16040473619710161</v>
      </c>
      <c r="T69" s="28">
        <f t="shared" ref="T69:V69" si="126">R69</f>
        <v>0.16161137961554825</v>
      </c>
      <c r="U69" s="28">
        <f t="shared" si="126"/>
        <v>0.16040473619710161</v>
      </c>
      <c r="V69" s="28">
        <f t="shared" si="126"/>
        <v>0.16161137961554825</v>
      </c>
      <c r="W69" s="34">
        <f>W25/$W$15</f>
        <v>0.16103350262837016</v>
      </c>
      <c r="Y69" s="67"/>
    </row>
    <row r="70" spans="2:25" s="51" customFormat="1" outlineLevel="1" x14ac:dyDescent="0.3">
      <c r="B70" s="71" t="s">
        <v>57</v>
      </c>
      <c r="C70" s="72"/>
      <c r="D70" s="85">
        <f t="shared" ref="D70:P70" si="127">D26/D15</f>
        <v>0.15792151779115834</v>
      </c>
      <c r="E70" s="85">
        <f t="shared" si="127"/>
        <v>0.14371651289193216</v>
      </c>
      <c r="F70" s="85">
        <f t="shared" si="127"/>
        <v>0.11394776185032099</v>
      </c>
      <c r="G70" s="85">
        <f t="shared" si="127"/>
        <v>0.12305196616897973</v>
      </c>
      <c r="H70" s="86">
        <f t="shared" si="127"/>
        <v>0.13241361951182792</v>
      </c>
      <c r="I70" s="85">
        <f t="shared" si="127"/>
        <v>0.14440227173856648</v>
      </c>
      <c r="J70" s="85">
        <f t="shared" si="127"/>
        <v>0.10235054658998172</v>
      </c>
      <c r="K70" s="85">
        <f t="shared" si="127"/>
        <v>0.11818307705275326</v>
      </c>
      <c r="L70" s="85">
        <f t="shared" si="127"/>
        <v>0.10270328026498557</v>
      </c>
      <c r="M70" s="86">
        <f t="shared" si="127"/>
        <v>0.11492063091203819</v>
      </c>
      <c r="N70" s="85">
        <f t="shared" si="127"/>
        <v>0.10150051810192766</v>
      </c>
      <c r="O70" s="85">
        <f t="shared" si="127"/>
        <v>8.9434546544957846E-2</v>
      </c>
      <c r="P70" s="85">
        <f t="shared" si="127"/>
        <v>0.10650065375556375</v>
      </c>
      <c r="Q70" s="28">
        <f t="shared" si="125"/>
        <v>0.10650065375556375</v>
      </c>
      <c r="R70" s="34">
        <f>R26/$R$15</f>
        <v>0.10098110770879024</v>
      </c>
      <c r="S70" s="28">
        <f>Q70</f>
        <v>0.10650065375556375</v>
      </c>
      <c r="T70" s="28">
        <f t="shared" ref="T70:V73" si="128">S70</f>
        <v>0.10650065375556375</v>
      </c>
      <c r="U70" s="28">
        <f t="shared" si="128"/>
        <v>0.10650065375556375</v>
      </c>
      <c r="V70" s="28">
        <f t="shared" si="128"/>
        <v>0.10650065375556375</v>
      </c>
      <c r="W70" s="34">
        <f t="shared" ref="W70:W73" si="129">W26/$W$15</f>
        <v>0.10650065375556375</v>
      </c>
      <c r="Y70" s="67"/>
    </row>
    <row r="71" spans="2:25" s="51" customFormat="1" outlineLevel="1" x14ac:dyDescent="0.3">
      <c r="B71" s="71" t="s">
        <v>58</v>
      </c>
      <c r="C71" s="72"/>
      <c r="D71" s="85">
        <f t="shared" ref="D71:P71" si="130">D27/D15</f>
        <v>0.14175985267927455</v>
      </c>
      <c r="E71" s="85">
        <f t="shared" si="130"/>
        <v>9.9948741755159679E-2</v>
      </c>
      <c r="F71" s="85">
        <f t="shared" si="130"/>
        <v>0.10779175094538739</v>
      </c>
      <c r="G71" s="85">
        <f t="shared" si="130"/>
        <v>0.10217462354619879</v>
      </c>
      <c r="H71" s="86">
        <f t="shared" si="130"/>
        <v>0.11082202608351996</v>
      </c>
      <c r="I71" s="85">
        <f t="shared" si="130"/>
        <v>0.11222596055987261</v>
      </c>
      <c r="J71" s="85">
        <f t="shared" si="130"/>
        <v>0.10258924625741501</v>
      </c>
      <c r="K71" s="85">
        <f t="shared" si="130"/>
        <v>0.11385119269811071</v>
      </c>
      <c r="L71" s="85">
        <f t="shared" si="130"/>
        <v>0.12213644620151726</v>
      </c>
      <c r="M71" s="86">
        <f t="shared" si="130"/>
        <v>0.11322228868976686</v>
      </c>
      <c r="N71" s="85">
        <f t="shared" si="130"/>
        <v>0.25340062066765279</v>
      </c>
      <c r="O71" s="85">
        <f t="shared" si="130"/>
        <v>0.11580428382812696</v>
      </c>
      <c r="P71" s="85">
        <f t="shared" si="130"/>
        <v>0.11862132746547852</v>
      </c>
      <c r="Q71" s="28">
        <v>0.11700000000000001</v>
      </c>
      <c r="R71" s="34">
        <f>R27/$R$15</f>
        <v>0.14755018974976009</v>
      </c>
      <c r="S71" s="28">
        <f t="shared" ref="S71" si="131">Q71</f>
        <v>0.11700000000000001</v>
      </c>
      <c r="T71" s="28">
        <f t="shared" si="128"/>
        <v>0.11700000000000001</v>
      </c>
      <c r="U71" s="28">
        <f t="shared" si="128"/>
        <v>0.11700000000000001</v>
      </c>
      <c r="V71" s="28">
        <f t="shared" si="128"/>
        <v>0.11700000000000001</v>
      </c>
      <c r="W71" s="34">
        <f t="shared" si="129"/>
        <v>0.11699999999999999</v>
      </c>
      <c r="Y71" s="67"/>
    </row>
    <row r="72" spans="2:25" s="51" customFormat="1" outlineLevel="1" x14ac:dyDescent="0.3">
      <c r="B72" s="234" t="s">
        <v>189</v>
      </c>
      <c r="C72" s="235"/>
      <c r="D72" s="85">
        <f t="shared" ref="D72:P72" si="132">D28/D15</f>
        <v>3.7120945954131887E-2</v>
      </c>
      <c r="E72" s="85">
        <f t="shared" si="132"/>
        <v>2.3404708021431748E-2</v>
      </c>
      <c r="F72" s="85">
        <f t="shared" si="132"/>
        <v>3.0155659132881891E-2</v>
      </c>
      <c r="G72" s="85">
        <f t="shared" si="132"/>
        <v>2.4930847290090635E-2</v>
      </c>
      <c r="H72" s="86">
        <f t="shared" si="132"/>
        <v>2.8324190300543877E-2</v>
      </c>
      <c r="I72" s="85">
        <f t="shared" si="132"/>
        <v>6.5142861704123214E-2</v>
      </c>
      <c r="J72" s="85">
        <f t="shared" si="132"/>
        <v>2.7460138768374231E-2</v>
      </c>
      <c r="K72" s="85">
        <f t="shared" si="132"/>
        <v>4.8180548364179322E-2</v>
      </c>
      <c r="L72" s="85">
        <f t="shared" si="132"/>
        <v>3.5177369377070201E-2</v>
      </c>
      <c r="M72" s="86">
        <f t="shared" si="132"/>
        <v>4.2623496785619018E-2</v>
      </c>
      <c r="N72" s="85">
        <f t="shared" si="132"/>
        <v>2.0726713757254087E-2</v>
      </c>
      <c r="O72" s="85">
        <f t="shared" si="132"/>
        <v>3.980316190571747E-2</v>
      </c>
      <c r="P72" s="85">
        <f t="shared" si="132"/>
        <v>2.9350663550507743E-2</v>
      </c>
      <c r="Q72" s="28">
        <f t="shared" si="125"/>
        <v>2.9350663550507743E-2</v>
      </c>
      <c r="R72" s="34">
        <f>R28/$R$15</f>
        <v>3.0123226991141738E-2</v>
      </c>
      <c r="S72" s="28">
        <f t="shared" ref="S72:S76" si="133">Q72</f>
        <v>2.9350663550507743E-2</v>
      </c>
      <c r="T72" s="28">
        <f t="shared" si="128"/>
        <v>2.9350663550507743E-2</v>
      </c>
      <c r="U72" s="28">
        <f t="shared" si="128"/>
        <v>2.9350663550507743E-2</v>
      </c>
      <c r="V72" s="28">
        <f t="shared" si="128"/>
        <v>2.9350663550507743E-2</v>
      </c>
      <c r="W72" s="34">
        <f t="shared" si="129"/>
        <v>2.9350663550507746E-2</v>
      </c>
      <c r="Y72" s="67"/>
    </row>
    <row r="73" spans="2:25" s="51" customFormat="1" outlineLevel="1" x14ac:dyDescent="0.3">
      <c r="B73" s="234" t="s">
        <v>190</v>
      </c>
      <c r="C73" s="235"/>
      <c r="D73" s="85">
        <f t="shared" ref="D73:P73" si="134">D29/D15</f>
        <v>4.1191650210198566E-4</v>
      </c>
      <c r="E73" s="85">
        <f t="shared" si="134"/>
        <v>7.833807230313933E-4</v>
      </c>
      <c r="F73" s="85">
        <f t="shared" si="134"/>
        <v>1.5873713833435934E-3</v>
      </c>
      <c r="G73" s="85">
        <f t="shared" si="134"/>
        <v>1.8294578586972984E-3</v>
      </c>
      <c r="H73" s="86">
        <f t="shared" si="134"/>
        <v>1.2350151495191673E-3</v>
      </c>
      <c r="I73" s="85">
        <f t="shared" si="134"/>
        <v>1.8678384559202097E-3</v>
      </c>
      <c r="J73" s="85">
        <f t="shared" si="134"/>
        <v>1.5547735094979889E-3</v>
      </c>
      <c r="K73" s="85">
        <f t="shared" si="134"/>
        <v>1.2733753175912434E-3</v>
      </c>
      <c r="L73" s="85">
        <f t="shared" si="134"/>
        <v>1.0257506143818785E-3</v>
      </c>
      <c r="M73" s="86">
        <f t="shared" si="134"/>
        <v>1.3866111916964324E-3</v>
      </c>
      <c r="N73" s="85">
        <f t="shared" si="134"/>
        <v>8.3581837693035813E-4</v>
      </c>
      <c r="O73" s="85">
        <f t="shared" si="134"/>
        <v>5.0623328232995003E-4</v>
      </c>
      <c r="P73" s="85">
        <f t="shared" si="134"/>
        <v>3.7357460786055643E-4</v>
      </c>
      <c r="Q73" s="28">
        <f t="shared" si="125"/>
        <v>3.7357460786055643E-4</v>
      </c>
      <c r="R73" s="34">
        <f>R29/$R$15</f>
        <v>5.1096234417598123E-4</v>
      </c>
      <c r="S73" s="28">
        <f t="shared" si="133"/>
        <v>3.7357460786055643E-4</v>
      </c>
      <c r="T73" s="28">
        <f t="shared" si="128"/>
        <v>3.7357460786055643E-4</v>
      </c>
      <c r="U73" s="28">
        <f t="shared" si="128"/>
        <v>3.7357460786055643E-4</v>
      </c>
      <c r="V73" s="28">
        <f t="shared" si="128"/>
        <v>3.7357460786055643E-4</v>
      </c>
      <c r="W73" s="34">
        <f t="shared" si="129"/>
        <v>3.7357460786055638E-4</v>
      </c>
      <c r="Y73" s="67"/>
    </row>
    <row r="74" spans="2:25" s="51" customFormat="1" outlineLevel="1" x14ac:dyDescent="0.3">
      <c r="B74" s="71" t="s">
        <v>52</v>
      </c>
      <c r="C74" s="72"/>
      <c r="D74" s="37"/>
      <c r="E74" s="37">
        <f>AVERAGE(E35,D35)</f>
        <v>91</v>
      </c>
      <c r="F74" s="37">
        <f>AVERAGE(F35,E35)</f>
        <v>306.5</v>
      </c>
      <c r="G74" s="37">
        <f>AVERAGE(G35,F35)</f>
        <v>438</v>
      </c>
      <c r="H74" s="27"/>
      <c r="I74" s="37">
        <f>AVERAGE(I35,G35)</f>
        <v>428.5</v>
      </c>
      <c r="J74" s="37">
        <f>AVERAGE(J35,I35)</f>
        <v>429</v>
      </c>
      <c r="K74" s="37">
        <f>AVERAGE(K35,J35)</f>
        <v>290.5</v>
      </c>
      <c r="L74" s="37">
        <f>AVERAGE(L35,K35)</f>
        <v>152.5</v>
      </c>
      <c r="M74" s="27"/>
      <c r="N74" s="37">
        <f>AVERAGE(N35,L35)</f>
        <v>118.5</v>
      </c>
      <c r="O74" s="37">
        <f>AVERAGE(O35,N35)</f>
        <v>-30</v>
      </c>
      <c r="P74" s="37">
        <f>AVERAGE(P35,O35)</f>
        <v>-156</v>
      </c>
      <c r="Q74" s="243">
        <v>-30</v>
      </c>
      <c r="R74" s="34"/>
      <c r="S74" s="243">
        <f t="shared" si="133"/>
        <v>-30</v>
      </c>
      <c r="T74" s="243">
        <f>S74</f>
        <v>-30</v>
      </c>
      <c r="U74" s="243">
        <f t="shared" ref="U74:V74" si="135">T74</f>
        <v>-30</v>
      </c>
      <c r="V74" s="243">
        <f t="shared" si="135"/>
        <v>-30</v>
      </c>
      <c r="W74" s="89"/>
      <c r="X74" s="90"/>
      <c r="Y74" s="240"/>
    </row>
    <row r="75" spans="2:25" s="46" customFormat="1" outlineLevel="1" x14ac:dyDescent="0.3">
      <c r="B75" s="346" t="s">
        <v>59</v>
      </c>
      <c r="C75" s="347"/>
      <c r="D75" s="227">
        <f t="shared" ref="D75:P75" si="136">D36/D15</f>
        <v>2.750148411092669E-3</v>
      </c>
      <c r="E75" s="227">
        <f t="shared" si="136"/>
        <v>-3.259250662488636E-3</v>
      </c>
      <c r="F75" s="227">
        <f t="shared" si="136"/>
        <v>4.2080731685867562E-3</v>
      </c>
      <c r="G75" s="227">
        <f t="shared" si="136"/>
        <v>1.4627691375640709E-3</v>
      </c>
      <c r="H75" s="228">
        <f t="shared" si="136"/>
        <v>1.2985302143515818E-3</v>
      </c>
      <c r="I75" s="227">
        <f t="shared" si="136"/>
        <v>3.1769218181890747E-3</v>
      </c>
      <c r="J75" s="227">
        <f t="shared" si="136"/>
        <v>-1.6128355907655485E-4</v>
      </c>
      <c r="K75" s="227">
        <f t="shared" si="136"/>
        <v>1.9386612400207111E-3</v>
      </c>
      <c r="L75" s="227">
        <f t="shared" si="136"/>
        <v>-2.5109520247889733E-3</v>
      </c>
      <c r="M75" s="228">
        <f t="shared" si="136"/>
        <v>3.5513661711064008E-4</v>
      </c>
      <c r="N75" s="227">
        <f t="shared" si="136"/>
        <v>-2.0724077106222759E-3</v>
      </c>
      <c r="O75" s="227">
        <f t="shared" si="136"/>
        <v>-4.5150535991590144E-4</v>
      </c>
      <c r="P75" s="227">
        <f t="shared" si="136"/>
        <v>6.6970082140855854E-4</v>
      </c>
      <c r="Q75" s="28">
        <f t="shared" ref="Q75:Q76" si="137">P75</f>
        <v>6.6970082140855854E-4</v>
      </c>
      <c r="R75" s="34">
        <f>R36/R15</f>
        <v>-2.3155606467593185E-4</v>
      </c>
      <c r="S75" s="28">
        <f t="shared" si="133"/>
        <v>6.6970082140855854E-4</v>
      </c>
      <c r="T75" s="28">
        <f>S75</f>
        <v>6.6970082140855854E-4</v>
      </c>
      <c r="U75" s="28">
        <f t="shared" ref="U75:V77" si="138">T75</f>
        <v>6.6970082140855854E-4</v>
      </c>
      <c r="V75" s="28">
        <f t="shared" si="138"/>
        <v>6.6970082140855854E-4</v>
      </c>
      <c r="W75" s="34">
        <f>W36/W11</f>
        <v>7.4639329467537073E-4</v>
      </c>
      <c r="Y75" s="67"/>
    </row>
    <row r="76" spans="2:25" s="46" customFormat="1" outlineLevel="1" x14ac:dyDescent="0.3">
      <c r="B76" s="346" t="s">
        <v>44</v>
      </c>
      <c r="C76" s="347"/>
      <c r="D76" s="227">
        <f t="shared" ref="D76:P76" si="139">D38/D37</f>
        <v>1.8079953572464901E-2</v>
      </c>
      <c r="E76" s="227">
        <f t="shared" si="139"/>
        <v>-7.6361978573056761E-3</v>
      </c>
      <c r="F76" s="227">
        <f t="shared" si="139"/>
        <v>-7.6241941093068673E-3</v>
      </c>
      <c r="G76" s="227">
        <f t="shared" si="139"/>
        <v>-4.7971731448763252E-2</v>
      </c>
      <c r="H76" s="228">
        <f t="shared" si="139"/>
        <v>-9.4331588635663891E-3</v>
      </c>
      <c r="I76" s="227">
        <f t="shared" si="139"/>
        <v>-8.7888982338099244E-3</v>
      </c>
      <c r="J76" s="227">
        <f t="shared" si="139"/>
        <v>-4.0466488689054378E-2</v>
      </c>
      <c r="K76" s="227">
        <f t="shared" si="139"/>
        <v>-1.7585569266764783E-2</v>
      </c>
      <c r="L76" s="227">
        <f t="shared" si="139"/>
        <v>-2.6442767562971623E-2</v>
      </c>
      <c r="M76" s="228">
        <f t="shared" si="139"/>
        <v>-2.1275508175679129E-2</v>
      </c>
      <c r="N76" s="227">
        <f t="shared" si="139"/>
        <v>-3.5160139395950881E-3</v>
      </c>
      <c r="O76" s="227">
        <f t="shared" si="139"/>
        <v>-1.1541449339695926E-2</v>
      </c>
      <c r="P76" s="227">
        <f t="shared" si="139"/>
        <v>-7.1666718599071449E-3</v>
      </c>
      <c r="Q76" s="28">
        <f t="shared" si="137"/>
        <v>-7.1666718599071449E-3</v>
      </c>
      <c r="R76" s="34">
        <f>R38/R37</f>
        <v>-5.8439644267334074E-3</v>
      </c>
      <c r="S76" s="28">
        <f t="shared" si="133"/>
        <v>-7.1666718599071449E-3</v>
      </c>
      <c r="T76" s="28">
        <f>S76</f>
        <v>-7.1666718599071449E-3</v>
      </c>
      <c r="U76" s="28">
        <f t="shared" si="138"/>
        <v>-7.1666718599071449E-3</v>
      </c>
      <c r="V76" s="28">
        <f t="shared" si="138"/>
        <v>-7.1666718599071449E-3</v>
      </c>
      <c r="W76" s="34">
        <f>W38/W37</f>
        <v>-7.2858373819825514E-3</v>
      </c>
      <c r="Y76" s="67"/>
    </row>
    <row r="77" spans="2:25" s="46" customFormat="1" outlineLevel="1" x14ac:dyDescent="0.3">
      <c r="B77" s="346" t="s">
        <v>43</v>
      </c>
      <c r="C77" s="347"/>
      <c r="D77" s="227">
        <f t="shared" ref="D77:P77" si="140">D22/D15</f>
        <v>0.25596976048266923</v>
      </c>
      <c r="E77" s="227">
        <f t="shared" si="140"/>
        <v>0.26282906826050795</v>
      </c>
      <c r="F77" s="227">
        <f t="shared" si="140"/>
        <v>0.26883739336909684</v>
      </c>
      <c r="G77" s="227">
        <f t="shared" si="140"/>
        <v>0.27233413313989174</v>
      </c>
      <c r="H77" s="228">
        <f t="shared" si="140"/>
        <v>0.26590934753561546</v>
      </c>
      <c r="I77" s="85">
        <f t="shared" si="140"/>
        <v>0.29647944379921537</v>
      </c>
      <c r="J77" s="85">
        <f t="shared" si="140"/>
        <v>0.29141358588188238</v>
      </c>
      <c r="K77" s="85">
        <f t="shared" si="140"/>
        <v>0.28992618637638928</v>
      </c>
      <c r="L77" s="85">
        <f t="shared" si="140"/>
        <v>0.29141200983011006</v>
      </c>
      <c r="M77" s="228">
        <f t="shared" si="140"/>
        <v>0.29202489428766698</v>
      </c>
      <c r="N77" s="85">
        <f t="shared" si="140"/>
        <v>0.29066440969338386</v>
      </c>
      <c r="O77" s="85">
        <f t="shared" si="140"/>
        <v>0.33967569145309473</v>
      </c>
      <c r="P77" s="85">
        <f t="shared" si="140"/>
        <v>0.34239935125580295</v>
      </c>
      <c r="Q77" s="255">
        <v>0.35599999999999998</v>
      </c>
      <c r="R77" s="34">
        <f>R22/R15</f>
        <v>0.33294888293426156</v>
      </c>
      <c r="S77" s="28">
        <v>0.34</v>
      </c>
      <c r="T77" s="28">
        <v>0.34</v>
      </c>
      <c r="U77" s="28">
        <f t="shared" si="138"/>
        <v>0.34</v>
      </c>
      <c r="V77" s="28">
        <f t="shared" si="138"/>
        <v>0.34</v>
      </c>
      <c r="W77" s="34">
        <f>W22/W11</f>
        <v>0.37893595479825248</v>
      </c>
      <c r="Y77" s="67"/>
    </row>
    <row r="78" spans="2:25" s="51" customFormat="1" outlineLevel="1" x14ac:dyDescent="0.3">
      <c r="B78" s="346" t="s">
        <v>56</v>
      </c>
      <c r="C78" s="347"/>
      <c r="D78" s="85">
        <f t="shared" ref="D78:T78" si="141">D24/D15</f>
        <v>1.1408875589101175</v>
      </c>
      <c r="E78" s="85">
        <f t="shared" si="141"/>
        <v>0.11704771852453626</v>
      </c>
      <c r="F78" s="85">
        <f t="shared" si="141"/>
        <v>0.13738457479553248</v>
      </c>
      <c r="G78" s="85">
        <f t="shared" si="141"/>
        <v>0.12679059682575111</v>
      </c>
      <c r="H78" s="86">
        <f t="shared" si="141"/>
        <v>0.32416207162617383</v>
      </c>
      <c r="I78" s="85">
        <f t="shared" si="141"/>
        <v>0.17979142470575557</v>
      </c>
      <c r="J78" s="85">
        <f t="shared" si="141"/>
        <v>0.18293426404699159</v>
      </c>
      <c r="K78" s="85">
        <f t="shared" si="141"/>
        <v>0.19259575902802029</v>
      </c>
      <c r="L78" s="85">
        <f t="shared" si="141"/>
        <v>0.16564002564376537</v>
      </c>
      <c r="M78" s="86">
        <f t="shared" si="141"/>
        <v>0.17973622030465985</v>
      </c>
      <c r="N78" s="85">
        <f t="shared" si="141"/>
        <v>0.18826215693874268</v>
      </c>
      <c r="O78" s="85">
        <f t="shared" si="141"/>
        <v>0.2647280820371557</v>
      </c>
      <c r="P78" s="85">
        <f t="shared" si="141"/>
        <v>0.74735650407059651</v>
      </c>
      <c r="Q78" s="26">
        <f t="shared" si="141"/>
        <v>0.77078483105034012</v>
      </c>
      <c r="R78" s="34">
        <f t="shared" si="141"/>
        <v>0.73284920162988076</v>
      </c>
      <c r="S78" s="26">
        <f t="shared" si="141"/>
        <v>0.76103266000527514</v>
      </c>
      <c r="T78" s="26">
        <f t="shared" si="141"/>
        <v>0.71658194473206893</v>
      </c>
      <c r="U78" s="26">
        <f>U24/U11</f>
        <v>0.79355527053299768</v>
      </c>
      <c r="V78" s="26">
        <f>V24/V11</f>
        <v>0.82181104940836991</v>
      </c>
      <c r="W78" s="34">
        <f>W24/W11</f>
        <v>0.81298821301952895</v>
      </c>
      <c r="Y78" s="67"/>
    </row>
    <row r="79" spans="2:25" s="51" customFormat="1" outlineLevel="1" x14ac:dyDescent="0.3">
      <c r="B79" s="56" t="s">
        <v>47</v>
      </c>
      <c r="C79" s="57"/>
      <c r="D79" s="85">
        <f t="shared" ref="D79:V79" si="142">D32/D15</f>
        <v>-0.268624077731067</v>
      </c>
      <c r="E79" s="85">
        <f t="shared" si="142"/>
        <v>-0.17210197489313139</v>
      </c>
      <c r="F79" s="85">
        <f t="shared" si="142"/>
        <v>-0.15825784891390379</v>
      </c>
      <c r="G79" s="85">
        <f t="shared" si="142"/>
        <v>-0.13776734397793491</v>
      </c>
      <c r="H79" s="86">
        <f t="shared" si="142"/>
        <v>-0.17700825225360858</v>
      </c>
      <c r="I79" s="85">
        <f t="shared" si="142"/>
        <v>-0.18498784707671309</v>
      </c>
      <c r="J79" s="85">
        <f t="shared" si="142"/>
        <v>-9.0557492750304017E-2</v>
      </c>
      <c r="K79" s="85">
        <f t="shared" si="142"/>
        <v>-0.15719110864931907</v>
      </c>
      <c r="L79" s="85">
        <f t="shared" si="142"/>
        <v>-0.12772999252056844</v>
      </c>
      <c r="M79" s="86">
        <f t="shared" si="142"/>
        <v>-0.13768094210641788</v>
      </c>
      <c r="N79" s="85">
        <f t="shared" si="142"/>
        <v>-0.25610582462579329</v>
      </c>
      <c r="O79" s="85">
        <f t="shared" si="142"/>
        <v>-6.2389831552015468E-2</v>
      </c>
      <c r="P79" s="85">
        <f t="shared" si="142"/>
        <v>-7.2851604320709251E-2</v>
      </c>
      <c r="Q79" s="85">
        <f t="shared" si="142"/>
        <v>-6.0489543561998711E-2</v>
      </c>
      <c r="R79" s="34">
        <f t="shared" si="142"/>
        <v>-0.10782798347515471</v>
      </c>
      <c r="S79" s="85">
        <f t="shared" si="142"/>
        <v>-7.3629628111033463E-2</v>
      </c>
      <c r="T79" s="85">
        <f t="shared" si="142"/>
        <v>-7.4836271529480219E-2</v>
      </c>
      <c r="U79" s="85">
        <f t="shared" si="142"/>
        <v>-7.3629628111033629E-2</v>
      </c>
      <c r="V79" s="85">
        <f t="shared" si="142"/>
        <v>-7.4836271529480289E-2</v>
      </c>
      <c r="W79" s="34">
        <f>W32/W11</f>
        <v>-8.276228128727238E-2</v>
      </c>
      <c r="Y79" s="67"/>
    </row>
    <row r="80" spans="2:25" s="46" customFormat="1" x14ac:dyDescent="0.3">
      <c r="B80" s="350" t="s">
        <v>55</v>
      </c>
      <c r="C80" s="351"/>
      <c r="D80" s="184"/>
      <c r="E80" s="184"/>
      <c r="F80" s="184"/>
      <c r="G80" s="184"/>
      <c r="H80" s="185"/>
      <c r="I80" s="184"/>
      <c r="J80" s="184"/>
      <c r="K80" s="184"/>
      <c r="L80" s="184"/>
      <c r="M80" s="185"/>
      <c r="N80" s="184"/>
      <c r="O80" s="184"/>
      <c r="P80" s="50"/>
      <c r="Q80" s="50"/>
      <c r="R80" s="87"/>
      <c r="S80" s="50"/>
      <c r="T80" s="50"/>
      <c r="U80" s="50"/>
      <c r="V80" s="50"/>
      <c r="W80" s="87"/>
      <c r="Y80" s="67"/>
    </row>
    <row r="81" spans="2:25" s="25" customFormat="1" ht="15" customHeight="1" outlineLevel="1" x14ac:dyDescent="0.3">
      <c r="B81" s="74" t="s">
        <v>174</v>
      </c>
      <c r="C81" s="39"/>
      <c r="D81" s="37">
        <v>4265</v>
      </c>
      <c r="E81" s="37">
        <v>5556</v>
      </c>
      <c r="F81" s="37">
        <v>7086</v>
      </c>
      <c r="G81" s="186">
        <v>7851</v>
      </c>
      <c r="H81" s="27">
        <f>SUM(D81:G81)</f>
        <v>24758</v>
      </c>
      <c r="I81" s="187">
        <v>8958</v>
      </c>
      <c r="J81" s="37">
        <v>10391</v>
      </c>
      <c r="K81" s="37">
        <v>13938</v>
      </c>
      <c r="L81" s="186">
        <v>21451</v>
      </c>
      <c r="M81" s="27">
        <f>SUM(I81:L81)</f>
        <v>54738</v>
      </c>
      <c r="N81" s="187">
        <v>21947</v>
      </c>
      <c r="O81" s="37">
        <v>24168</v>
      </c>
      <c r="P81" s="37">
        <v>23949</v>
      </c>
      <c r="Q81" s="186">
        <f>P81/P84*Q84</f>
        <v>25864.92</v>
      </c>
      <c r="R81" s="27">
        <f>SUM(N81:Q81)</f>
        <v>95928.92</v>
      </c>
      <c r="S81" s="187">
        <f>Q81/Q84*S84</f>
        <v>27934.113600000001</v>
      </c>
      <c r="T81" s="37">
        <f>S81/S84*T84</f>
        <v>30168.842688000001</v>
      </c>
      <c r="U81" s="37">
        <f>T81/T84*U84</f>
        <v>32582.350103040004</v>
      </c>
      <c r="V81" s="186">
        <f>U81/U84*V84</f>
        <v>35188.938111283205</v>
      </c>
      <c r="W81" s="27">
        <f>SUM(S81:V81)</f>
        <v>125874.24450232321</v>
      </c>
      <c r="X81" s="38"/>
      <c r="Y81" s="67"/>
    </row>
    <row r="82" spans="2:25" s="51" customFormat="1" ht="15" customHeight="1" outlineLevel="1" x14ac:dyDescent="0.3">
      <c r="B82" s="74" t="s">
        <v>64</v>
      </c>
      <c r="C82" s="39"/>
      <c r="D82" s="37">
        <v>644</v>
      </c>
      <c r="E82" s="37">
        <v>839</v>
      </c>
      <c r="F82" s="37">
        <v>1070</v>
      </c>
      <c r="G82" s="186">
        <v>1185</v>
      </c>
      <c r="H82" s="27">
        <f t="shared" ref="H82" si="143">SUM(D82:G82)</f>
        <v>3738</v>
      </c>
      <c r="I82" s="187">
        <v>1429</v>
      </c>
      <c r="J82" s="37">
        <v>1345</v>
      </c>
      <c r="K82" s="37">
        <v>1750</v>
      </c>
      <c r="L82" s="186">
        <v>2836</v>
      </c>
      <c r="M82" s="27">
        <f t="shared" ref="M82" si="144">SUM(I82:L82)</f>
        <v>7360</v>
      </c>
      <c r="N82" s="187">
        <v>2903</v>
      </c>
      <c r="O82" s="37">
        <v>3363</v>
      </c>
      <c r="P82" s="37">
        <v>3697</v>
      </c>
      <c r="Q82" s="186">
        <f t="shared" ref="Q82" si="145">P82/P84*Q84</f>
        <v>3992.76</v>
      </c>
      <c r="R82" s="27">
        <f t="shared" ref="R82" si="146">SUM(N82:Q82)</f>
        <v>13955.76</v>
      </c>
      <c r="S82" s="187">
        <f>Q82/Q84*S84</f>
        <v>4312.1808000000001</v>
      </c>
      <c r="T82" s="37">
        <f t="shared" ref="T82:V82" si="147">S82/S84*T84</f>
        <v>4657.155264</v>
      </c>
      <c r="U82" s="37">
        <f t="shared" si="147"/>
        <v>5029.7276851200004</v>
      </c>
      <c r="V82" s="186">
        <f t="shared" si="147"/>
        <v>5432.1058999296001</v>
      </c>
      <c r="W82" s="27">
        <f t="shared" ref="W82" si="148">SUM(S82:V82)</f>
        <v>19431.1696490496</v>
      </c>
      <c r="X82" s="38"/>
      <c r="Y82" s="67"/>
    </row>
    <row r="83" spans="2:25" s="51" customFormat="1" ht="15" customHeight="1" outlineLevel="1" x14ac:dyDescent="0.45">
      <c r="B83" s="74" t="s">
        <v>65</v>
      </c>
      <c r="C83" s="39"/>
      <c r="D83" s="188">
        <v>1310</v>
      </c>
      <c r="E83" s="189">
        <v>1707</v>
      </c>
      <c r="F83" s="189">
        <v>2176</v>
      </c>
      <c r="G83" s="190">
        <v>2411</v>
      </c>
      <c r="H83" s="191">
        <f>SUM(D83:G83)</f>
        <v>7604</v>
      </c>
      <c r="I83" s="188">
        <v>3074</v>
      </c>
      <c r="J83" s="189">
        <v>3496</v>
      </c>
      <c r="K83" s="189">
        <v>5105</v>
      </c>
      <c r="L83" s="190">
        <v>8519</v>
      </c>
      <c r="M83" s="191">
        <f>SUM(I83:L83)</f>
        <v>20194</v>
      </c>
      <c r="N83" s="188">
        <v>6348</v>
      </c>
      <c r="O83" s="189">
        <v>9391</v>
      </c>
      <c r="P83" s="189">
        <v>9133</v>
      </c>
      <c r="Q83" s="190">
        <f t="shared" ref="Q83" si="149">P83/P84*Q84</f>
        <v>9863.64</v>
      </c>
      <c r="R83" s="191">
        <f>SUM(N83:Q83)</f>
        <v>34735.64</v>
      </c>
      <c r="S83" s="188">
        <f>Q83/Q84*S84</f>
        <v>10652.7312</v>
      </c>
      <c r="T83" s="189">
        <f t="shared" ref="T83" si="150">S83/S84*T84</f>
        <v>11504.949696</v>
      </c>
      <c r="U83" s="189">
        <f t="shared" ref="U83" si="151">T83/T84*U84</f>
        <v>12425.345671680001</v>
      </c>
      <c r="V83" s="190">
        <f t="shared" ref="V83" si="152">U83/U84*V84</f>
        <v>13419.373325414401</v>
      </c>
      <c r="W83" s="191">
        <f>SUM(S83:V83)</f>
        <v>48002.3998930944</v>
      </c>
      <c r="X83" s="38"/>
      <c r="Y83" s="67"/>
    </row>
    <row r="84" spans="2:25" s="53" customFormat="1" ht="15" customHeight="1" outlineLevel="1" x14ac:dyDescent="0.3">
      <c r="B84" s="76" t="s">
        <v>67</v>
      </c>
      <c r="C84" s="39"/>
      <c r="D84" s="192">
        <f t="shared" ref="D84:P84" si="153">SUM(D81:D83)</f>
        <v>6219</v>
      </c>
      <c r="E84" s="192">
        <f t="shared" si="153"/>
        <v>8102</v>
      </c>
      <c r="F84" s="192">
        <f t="shared" si="153"/>
        <v>10332</v>
      </c>
      <c r="G84" s="193">
        <f t="shared" si="153"/>
        <v>11447</v>
      </c>
      <c r="H84" s="194">
        <f t="shared" si="153"/>
        <v>36100</v>
      </c>
      <c r="I84" s="195">
        <f t="shared" si="153"/>
        <v>13461</v>
      </c>
      <c r="J84" s="192">
        <f t="shared" si="153"/>
        <v>15232</v>
      </c>
      <c r="K84" s="192">
        <f t="shared" si="153"/>
        <v>20793</v>
      </c>
      <c r="L84" s="192">
        <f t="shared" si="153"/>
        <v>32806</v>
      </c>
      <c r="M84" s="194">
        <f t="shared" si="153"/>
        <v>82292</v>
      </c>
      <c r="N84" s="192">
        <f t="shared" si="153"/>
        <v>31198</v>
      </c>
      <c r="O84" s="192">
        <f t="shared" si="153"/>
        <v>36922</v>
      </c>
      <c r="P84" s="192">
        <f t="shared" si="153"/>
        <v>36779</v>
      </c>
      <c r="Q84" s="192">
        <f>P84*(1+Q85)</f>
        <v>39721.32</v>
      </c>
      <c r="R84" s="194">
        <f>SUM(R81:R83)</f>
        <v>144620.32</v>
      </c>
      <c r="S84" s="192">
        <f>Q84*(1+S85)</f>
        <v>42899.025600000001</v>
      </c>
      <c r="T84" s="192">
        <f>S84*(1+T85)</f>
        <v>46330.947648000001</v>
      </c>
      <c r="U84" s="192">
        <f>T84*(1+U85)</f>
        <v>50037.423459840007</v>
      </c>
      <c r="V84" s="192">
        <f>U84*(1+V85)</f>
        <v>54040.417336627208</v>
      </c>
      <c r="W84" s="194">
        <f>SUM(W81:W83)</f>
        <v>193307.81404446723</v>
      </c>
      <c r="X84" s="77"/>
      <c r="Y84" s="241"/>
    </row>
    <row r="85" spans="2:25" s="51" customFormat="1" ht="15" customHeight="1" outlineLevel="1" x14ac:dyDescent="0.3">
      <c r="B85" s="74" t="s">
        <v>68</v>
      </c>
      <c r="C85" s="39"/>
      <c r="D85" s="227">
        <f t="shared" ref="D85:P85" si="154">D84/D15</f>
        <v>3.7672187155474247E-2</v>
      </c>
      <c r="E85" s="227">
        <f t="shared" si="154"/>
        <v>3.9178707518520671E-2</v>
      </c>
      <c r="F85" s="227">
        <f t="shared" si="154"/>
        <v>4.5431360478409989E-2</v>
      </c>
      <c r="G85" s="227">
        <f t="shared" si="154"/>
        <v>4.5624845552304956E-2</v>
      </c>
      <c r="H85" s="228">
        <f t="shared" si="154"/>
        <v>4.2460997045373282E-2</v>
      </c>
      <c r="I85" s="227">
        <f t="shared" si="154"/>
        <v>5.3724302254576806E-2</v>
      </c>
      <c r="J85" s="227">
        <f t="shared" si="154"/>
        <v>4.9133423437081672E-2</v>
      </c>
      <c r="K85" s="227">
        <f t="shared" si="154"/>
        <v>6.2594073235637648E-2</v>
      </c>
      <c r="L85" s="227">
        <f t="shared" si="154"/>
        <v>8.7632225665135163E-2</v>
      </c>
      <c r="M85" s="228">
        <f t="shared" si="154"/>
        <v>6.4944227767263982E-2</v>
      </c>
      <c r="N85" s="227">
        <f t="shared" si="154"/>
        <v>8.2258238875310141E-2</v>
      </c>
      <c r="O85" s="227">
        <f t="shared" si="154"/>
        <v>8.4194347973812686E-2</v>
      </c>
      <c r="P85" s="227">
        <f t="shared" si="154"/>
        <v>8.3778661600630522E-2</v>
      </c>
      <c r="Q85" s="59">
        <v>0.08</v>
      </c>
      <c r="R85" s="228">
        <f>R84/R15</f>
        <v>8.5095993917538693E-2</v>
      </c>
      <c r="S85" s="60">
        <v>0.08</v>
      </c>
      <c r="T85" s="28">
        <v>0.08</v>
      </c>
      <c r="U85" s="28">
        <v>0.08</v>
      </c>
      <c r="V85" s="59">
        <v>0.08</v>
      </c>
      <c r="W85" s="228">
        <f>W84/W15</f>
        <v>9.2492647961288074E-2</v>
      </c>
      <c r="Y85" s="67"/>
    </row>
    <row r="86" spans="2:25" s="51" customFormat="1" ht="15" customHeight="1" outlineLevel="1" x14ac:dyDescent="0.3">
      <c r="B86" s="98" t="s">
        <v>136</v>
      </c>
      <c r="C86" s="39"/>
      <c r="D86" s="37">
        <f>D15</f>
        <v>165082</v>
      </c>
      <c r="E86" s="37">
        <f>E15</f>
        <v>206796</v>
      </c>
      <c r="F86" s="37">
        <f>F15</f>
        <v>227420</v>
      </c>
      <c r="G86" s="37">
        <f>G15</f>
        <v>250894</v>
      </c>
      <c r="H86" s="27">
        <f>SUM(D86:G86)</f>
        <v>850192</v>
      </c>
      <c r="I86" s="37">
        <f>I15</f>
        <v>250557</v>
      </c>
      <c r="J86" s="37">
        <f>J15</f>
        <v>310013</v>
      </c>
      <c r="K86" s="37">
        <f>K15</f>
        <v>332188</v>
      </c>
      <c r="L86" s="37">
        <f>L15</f>
        <v>374360</v>
      </c>
      <c r="M86" s="27">
        <f>SUM(I86:L86)</f>
        <v>1267118</v>
      </c>
      <c r="N86" s="37">
        <f>N15</f>
        <v>379269</v>
      </c>
      <c r="O86" s="37">
        <f>O15</f>
        <v>438533</v>
      </c>
      <c r="P86" s="37">
        <f>P15</f>
        <v>439002</v>
      </c>
      <c r="Q86" s="37">
        <f>O86/O89*Q89</f>
        <v>474679.46294773696</v>
      </c>
      <c r="R86" s="27">
        <f t="shared" ref="R86:R88" si="155">SUM(N86:Q86)</f>
        <v>1731483.462947737</v>
      </c>
      <c r="S86" s="37">
        <f>Q86/Q89*S89</f>
        <v>488919.84683616913</v>
      </c>
      <c r="T86" s="37">
        <f>S86/S89*T89</f>
        <v>503587.44224125415</v>
      </c>
      <c r="U86" s="37">
        <f t="shared" ref="U86:V86" si="156">T86/T89*U89</f>
        <v>523730.93993090437</v>
      </c>
      <c r="V86" s="37">
        <f t="shared" si="156"/>
        <v>573485.3792243402</v>
      </c>
      <c r="W86" s="307">
        <f t="shared" ref="W86:W88" si="157">SUM(S86:V86)</f>
        <v>2089723.6082326679</v>
      </c>
      <c r="Y86" s="67"/>
    </row>
    <row r="87" spans="2:25" s="51" customFormat="1" ht="15" customHeight="1" outlineLevel="1" x14ac:dyDescent="0.3">
      <c r="B87" s="98" t="s">
        <v>177</v>
      </c>
      <c r="C87" s="39"/>
      <c r="D87" s="37">
        <f>D12</f>
        <v>26466</v>
      </c>
      <c r="E87" s="37">
        <f>E12</f>
        <v>30147</v>
      </c>
      <c r="F87" s="37">
        <f>F12</f>
        <v>29895</v>
      </c>
      <c r="G87" s="37">
        <f>G12</f>
        <v>36516</v>
      </c>
      <c r="H87" s="27">
        <f t="shared" ref="H87" si="158">SUM(D87:G87)</f>
        <v>123024</v>
      </c>
      <c r="I87" s="37">
        <f>I12</f>
        <v>29237</v>
      </c>
      <c r="J87" s="37">
        <f>J12</f>
        <v>33630</v>
      </c>
      <c r="K87" s="37">
        <f>K12</f>
        <v>32332</v>
      </c>
      <c r="L87" s="37">
        <f>L12</f>
        <v>47084</v>
      </c>
      <c r="M87" s="27">
        <f t="shared" ref="M87" si="159">SUM(I87:L87)</f>
        <v>142283</v>
      </c>
      <c r="N87" s="37">
        <f>N12</f>
        <v>38838</v>
      </c>
      <c r="O87" s="37">
        <f>O12</f>
        <v>32867</v>
      </c>
      <c r="P87" s="37">
        <f>P12</f>
        <v>7164</v>
      </c>
      <c r="Q87" s="254">
        <v>0</v>
      </c>
      <c r="R87" s="27">
        <f>SUM(N87:Q87)</f>
        <v>78869</v>
      </c>
      <c r="S87" s="93">
        <f>Q87</f>
        <v>0</v>
      </c>
      <c r="T87" s="88">
        <f>S87</f>
        <v>0</v>
      </c>
      <c r="U87" s="88">
        <f>T87</f>
        <v>0</v>
      </c>
      <c r="V87" s="92">
        <f>U87</f>
        <v>0</v>
      </c>
      <c r="W87" s="27">
        <f t="shared" si="157"/>
        <v>0</v>
      </c>
      <c r="Y87" s="67"/>
    </row>
    <row r="88" spans="2:25" s="51" customFormat="1" ht="15" customHeight="1" outlineLevel="1" x14ac:dyDescent="0.45">
      <c r="B88" s="98" t="s">
        <v>192</v>
      </c>
      <c r="C88" s="39"/>
      <c r="D88" s="189">
        <f>D16</f>
        <v>86275</v>
      </c>
      <c r="E88" s="189">
        <f>E16</f>
        <v>109801</v>
      </c>
      <c r="F88" s="189">
        <f>F16</f>
        <v>122425</v>
      </c>
      <c r="G88" s="189">
        <f>G16</f>
        <v>132357</v>
      </c>
      <c r="H88" s="191">
        <f>SUM(D88:G88)</f>
        <v>450858</v>
      </c>
      <c r="I88" s="189">
        <f>I16</f>
        <v>132107</v>
      </c>
      <c r="J88" s="189">
        <f>J16</f>
        <v>165823</v>
      </c>
      <c r="K88" s="189">
        <f>K16</f>
        <v>182007</v>
      </c>
      <c r="L88" s="189">
        <f>L16</f>
        <v>192730</v>
      </c>
      <c r="M88" s="191">
        <f>SUM(I88:L88)</f>
        <v>672667</v>
      </c>
      <c r="N88" s="189">
        <f>N16</f>
        <v>194276</v>
      </c>
      <c r="O88" s="189">
        <f>O16</f>
        <v>234857</v>
      </c>
      <c r="P88" s="189">
        <f>P16</f>
        <v>254061</v>
      </c>
      <c r="Q88" s="189">
        <f>(P88+P87)/P89*Q89</f>
        <v>271674</v>
      </c>
      <c r="R88" s="191">
        <f t="shared" si="155"/>
        <v>954868</v>
      </c>
      <c r="S88" s="189">
        <f>(Q88+Q87)/Q89*S89</f>
        <v>279824.22000000003</v>
      </c>
      <c r="T88" s="189">
        <f>(S88+S87)/S89*T89</f>
        <v>288218.94660000002</v>
      </c>
      <c r="U88" s="189">
        <f t="shared" ref="U88:V88" si="160">(S88+S87)/S89*U89</f>
        <v>299747.70446400007</v>
      </c>
      <c r="V88" s="189">
        <f t="shared" si="160"/>
        <v>328223.73638808</v>
      </c>
      <c r="W88" s="191">
        <f t="shared" si="157"/>
        <v>1196014.6074520801</v>
      </c>
      <c r="Y88" s="67"/>
    </row>
    <row r="89" spans="2:25" s="51" customFormat="1" ht="15" customHeight="1" outlineLevel="1" x14ac:dyDescent="0.3">
      <c r="B89" s="99" t="s">
        <v>191</v>
      </c>
      <c r="C89" s="39"/>
      <c r="D89" s="192">
        <f>D86-D87+D88</f>
        <v>224891</v>
      </c>
      <c r="E89" s="192">
        <f t="shared" ref="E89:G89" si="161">E86-E87-E88</f>
        <v>66848</v>
      </c>
      <c r="F89" s="192">
        <f t="shared" si="161"/>
        <v>75100</v>
      </c>
      <c r="G89" s="192">
        <f t="shared" si="161"/>
        <v>82021</v>
      </c>
      <c r="H89" s="194">
        <f t="shared" ref="H89" si="162">SUM(H86:H88)</f>
        <v>1424074</v>
      </c>
      <c r="I89" s="192">
        <f>I86-I87-I88</f>
        <v>89213</v>
      </c>
      <c r="J89" s="192">
        <f t="shared" ref="J89" si="163">J86-J87-J88</f>
        <v>110560</v>
      </c>
      <c r="K89" s="192">
        <f t="shared" ref="K89" si="164">K86-K87-K88</f>
        <v>117849</v>
      </c>
      <c r="L89" s="192">
        <f t="shared" ref="L89" si="165">L86-L87-L88</f>
        <v>134546</v>
      </c>
      <c r="M89" s="194">
        <f>M86-M87-M88</f>
        <v>452168</v>
      </c>
      <c r="N89" s="192">
        <f>N86-N87-N88</f>
        <v>146155</v>
      </c>
      <c r="O89" s="192">
        <f t="shared" ref="O89:P89" si="166">O86-O87-O88</f>
        <v>170809</v>
      </c>
      <c r="P89" s="192">
        <f t="shared" si="166"/>
        <v>177777</v>
      </c>
      <c r="Q89" s="192">
        <f>P89*(1+Q90)</f>
        <v>184888.08000000002</v>
      </c>
      <c r="R89" s="253">
        <f>SUM(N89:Q89)</f>
        <v>679629.08000000007</v>
      </c>
      <c r="S89" s="192">
        <f>Q89*(1+S90)</f>
        <v>190434.72240000003</v>
      </c>
      <c r="T89" s="192">
        <f>S89*(1+T90)</f>
        <v>196147.76407200002</v>
      </c>
      <c r="U89" s="192">
        <f t="shared" ref="U89:V89" si="167">T89*(1+U90)</f>
        <v>203993.67463488004</v>
      </c>
      <c r="V89" s="192">
        <f t="shared" si="167"/>
        <v>223373.07372519362</v>
      </c>
      <c r="W89" s="194">
        <f>W86-W87-W88</f>
        <v>893709.00078058778</v>
      </c>
      <c r="Y89" s="67"/>
    </row>
    <row r="90" spans="2:25" s="52" customFormat="1" ht="15" customHeight="1" outlineLevel="1" x14ac:dyDescent="0.3">
      <c r="B90" s="232" t="s">
        <v>194</v>
      </c>
      <c r="C90" s="94"/>
      <c r="D90" s="37"/>
      <c r="E90" s="85">
        <f>E89/D89-1</f>
        <v>-0.7027537784971386</v>
      </c>
      <c r="F90" s="85">
        <f t="shared" ref="F90:G90" si="168">F89/E89-1</f>
        <v>0.12344423168980367</v>
      </c>
      <c r="G90" s="85">
        <f t="shared" si="168"/>
        <v>9.2157123834886834E-2</v>
      </c>
      <c r="H90" s="27"/>
      <c r="I90" s="85">
        <f>I89/G89-1</f>
        <v>8.7684861194084363E-2</v>
      </c>
      <c r="J90" s="85">
        <f t="shared" ref="J90" si="169">J89/I89-1</f>
        <v>0.23928127066683103</v>
      </c>
      <c r="K90" s="85">
        <f t="shared" ref="K90:L90" si="170">K89/J89-1</f>
        <v>6.5928002894356075E-2</v>
      </c>
      <c r="L90" s="85">
        <f t="shared" si="170"/>
        <v>0.1416813040416125</v>
      </c>
      <c r="M90" s="86">
        <f>M89/H89-1</f>
        <v>-0.68248279232680331</v>
      </c>
      <c r="N90" s="85">
        <f>N89/L89-1</f>
        <v>8.6282758313142027E-2</v>
      </c>
      <c r="O90" s="85">
        <f t="shared" ref="O90:P90" si="171">O89/N89-1</f>
        <v>0.16868393144264648</v>
      </c>
      <c r="P90" s="85">
        <f t="shared" si="171"/>
        <v>4.0794103355209721E-2</v>
      </c>
      <c r="Q90" s="59">
        <v>0.04</v>
      </c>
      <c r="R90" s="86">
        <f>R89/M89-1</f>
        <v>0.50304550521045299</v>
      </c>
      <c r="S90" s="60">
        <v>0.03</v>
      </c>
      <c r="T90" s="28">
        <v>0.03</v>
      </c>
      <c r="U90" s="28">
        <v>0.04</v>
      </c>
      <c r="V90" s="59">
        <v>9.5000000000000001E-2</v>
      </c>
      <c r="W90" s="86">
        <f>W89/R89-1</f>
        <v>0.31499523354796377</v>
      </c>
      <c r="Y90" s="113"/>
    </row>
    <row r="91" spans="2:25" s="25" customFormat="1" ht="15" customHeight="1" x14ac:dyDescent="0.3">
      <c r="B91" s="334" t="s">
        <v>63</v>
      </c>
      <c r="C91" s="335"/>
      <c r="D91" s="49"/>
      <c r="E91" s="49"/>
      <c r="F91" s="49"/>
      <c r="G91" s="48"/>
      <c r="H91" s="41"/>
      <c r="I91" s="40"/>
      <c r="J91" s="49"/>
      <c r="K91" s="49"/>
      <c r="L91" s="48"/>
      <c r="M91" s="41"/>
      <c r="N91" s="40"/>
      <c r="O91" s="49"/>
      <c r="P91" s="49"/>
      <c r="Q91" s="48"/>
      <c r="R91" s="41"/>
      <c r="S91" s="40"/>
      <c r="T91" s="49"/>
      <c r="U91" s="49"/>
      <c r="V91" s="48"/>
      <c r="W91" s="41"/>
      <c r="Y91" s="67"/>
    </row>
    <row r="92" spans="2:25" s="52" customFormat="1" ht="15" customHeight="1" outlineLevel="1" x14ac:dyDescent="0.3">
      <c r="B92" s="74" t="s">
        <v>71</v>
      </c>
      <c r="C92" s="75"/>
      <c r="D92" s="37">
        <f t="shared" ref="D92:Q92" si="172">D39</f>
        <v>-43991</v>
      </c>
      <c r="E92" s="37">
        <f t="shared" si="172"/>
        <v>-35364</v>
      </c>
      <c r="F92" s="37">
        <f t="shared" si="172"/>
        <v>-37666</v>
      </c>
      <c r="G92" s="37">
        <f t="shared" si="172"/>
        <v>-37072</v>
      </c>
      <c r="H92" s="231">
        <f t="shared" si="172"/>
        <v>-154093</v>
      </c>
      <c r="I92" s="37">
        <f t="shared" si="172"/>
        <v>-47978</v>
      </c>
      <c r="J92" s="37">
        <f t="shared" si="172"/>
        <v>-29620</v>
      </c>
      <c r="K92" s="37">
        <f t="shared" si="172"/>
        <v>-53930</v>
      </c>
      <c r="L92" s="37">
        <f t="shared" si="172"/>
        <v>-48289</v>
      </c>
      <c r="M92" s="231">
        <f t="shared" si="172"/>
        <v>-179817</v>
      </c>
      <c r="N92" s="37">
        <f t="shared" si="172"/>
        <v>-96755</v>
      </c>
      <c r="O92" s="37">
        <f t="shared" si="172"/>
        <v>-27345</v>
      </c>
      <c r="P92" s="37">
        <f t="shared" si="172"/>
        <v>-32323</v>
      </c>
      <c r="Q92" s="37">
        <f t="shared" si="172"/>
        <v>-27238.54231536173</v>
      </c>
      <c r="R92" s="27">
        <f>SUM(N92:Q92)</f>
        <v>-183661.54231536173</v>
      </c>
      <c r="S92" s="37">
        <f>S39</f>
        <v>-33816.504997675998</v>
      </c>
      <c r="T92" s="37">
        <f>T39</f>
        <v>-39579.937896930714</v>
      </c>
      <c r="U92" s="37">
        <f>U39</f>
        <v>-41023.594109916936</v>
      </c>
      <c r="V92" s="37">
        <f>V39</f>
        <v>-43179.636003389765</v>
      </c>
      <c r="W92" s="27">
        <f>SUM(S92:V92)</f>
        <v>-157599.6730079134</v>
      </c>
      <c r="Y92" s="113"/>
    </row>
    <row r="93" spans="2:25" s="52" customFormat="1" ht="15" customHeight="1" outlineLevel="1" x14ac:dyDescent="0.3">
      <c r="B93" s="147" t="s">
        <v>177</v>
      </c>
      <c r="C93" s="148"/>
      <c r="D93" s="37">
        <f t="shared" ref="D93:O93" si="173">-D12</f>
        <v>-26466</v>
      </c>
      <c r="E93" s="37">
        <f t="shared" si="173"/>
        <v>-30147</v>
      </c>
      <c r="F93" s="37">
        <f t="shared" si="173"/>
        <v>-29895</v>
      </c>
      <c r="G93" s="37">
        <f t="shared" si="173"/>
        <v>-36516</v>
      </c>
      <c r="H93" s="27">
        <f t="shared" si="173"/>
        <v>-123024</v>
      </c>
      <c r="I93" s="37">
        <f t="shared" si="173"/>
        <v>-29237</v>
      </c>
      <c r="J93" s="37">
        <f t="shared" si="173"/>
        <v>-33630</v>
      </c>
      <c r="K93" s="37">
        <f t="shared" si="173"/>
        <v>-32332</v>
      </c>
      <c r="L93" s="37">
        <f t="shared" si="173"/>
        <v>-47084</v>
      </c>
      <c r="M93" s="27">
        <f t="shared" si="173"/>
        <v>-142283</v>
      </c>
      <c r="N93" s="37">
        <f t="shared" si="173"/>
        <v>-38838</v>
      </c>
      <c r="O93" s="37">
        <f t="shared" si="173"/>
        <v>-32867</v>
      </c>
      <c r="P93" s="37">
        <f>-P87</f>
        <v>-7164</v>
      </c>
      <c r="Q93" s="37">
        <f>-Q87</f>
        <v>0</v>
      </c>
      <c r="R93" s="27">
        <f t="shared" ref="R93:R101" si="174">SUM(N93:Q93)</f>
        <v>-78869</v>
      </c>
      <c r="S93" s="251">
        <v>0</v>
      </c>
      <c r="T93" s="251">
        <v>0</v>
      </c>
      <c r="U93" s="251">
        <v>0</v>
      </c>
      <c r="V93" s="251">
        <v>0</v>
      </c>
      <c r="W93" s="27">
        <f t="shared" ref="W93:W101" si="175">SUM(S93:V93)</f>
        <v>0</v>
      </c>
      <c r="Y93" s="113"/>
    </row>
    <row r="94" spans="2:25" s="52" customFormat="1" ht="15" customHeight="1" outlineLevel="1" x14ac:dyDescent="0.3">
      <c r="B94" s="147" t="s">
        <v>178</v>
      </c>
      <c r="C94" s="148"/>
      <c r="D94" s="37">
        <f t="shared" ref="D94:P94" si="176">D17</f>
        <v>33016</v>
      </c>
      <c r="E94" s="37">
        <f t="shared" si="176"/>
        <v>37496</v>
      </c>
      <c r="F94" s="37">
        <f t="shared" si="176"/>
        <v>37377</v>
      </c>
      <c r="G94" s="37">
        <f t="shared" si="176"/>
        <v>43066</v>
      </c>
      <c r="H94" s="27">
        <f t="shared" si="176"/>
        <v>150955</v>
      </c>
      <c r="I94" s="37">
        <f t="shared" si="176"/>
        <v>36211</v>
      </c>
      <c r="J94" s="37">
        <f t="shared" si="176"/>
        <v>40921</v>
      </c>
      <c r="K94" s="37">
        <f t="shared" si="176"/>
        <v>41410</v>
      </c>
      <c r="L94" s="37">
        <f t="shared" si="176"/>
        <v>46896</v>
      </c>
      <c r="M94" s="27">
        <f t="shared" si="176"/>
        <v>165438</v>
      </c>
      <c r="N94" s="37">
        <f t="shared" si="176"/>
        <v>36610</v>
      </c>
      <c r="O94" s="37">
        <f t="shared" si="176"/>
        <v>28672</v>
      </c>
      <c r="P94" s="37">
        <f t="shared" si="176"/>
        <v>4528</v>
      </c>
      <c r="Q94" s="88">
        <v>0</v>
      </c>
      <c r="R94" s="27">
        <f t="shared" si="174"/>
        <v>69810</v>
      </c>
      <c r="S94" s="251">
        <v>0</v>
      </c>
      <c r="T94" s="251">
        <v>0</v>
      </c>
      <c r="U94" s="251">
        <v>0</v>
      </c>
      <c r="V94" s="251">
        <v>0</v>
      </c>
      <c r="W94" s="27">
        <f t="shared" si="175"/>
        <v>0</v>
      </c>
      <c r="Y94" s="113"/>
    </row>
    <row r="95" spans="2:25" s="52" customFormat="1" ht="15" customHeight="1" outlineLevel="1" x14ac:dyDescent="0.3">
      <c r="B95" s="74" t="s">
        <v>72</v>
      </c>
      <c r="C95" s="75"/>
      <c r="D95" s="37">
        <f t="shared" ref="D95:Q95" si="177">D84</f>
        <v>6219</v>
      </c>
      <c r="E95" s="37">
        <f t="shared" si="177"/>
        <v>8102</v>
      </c>
      <c r="F95" s="37">
        <f t="shared" si="177"/>
        <v>10332</v>
      </c>
      <c r="G95" s="37">
        <f t="shared" si="177"/>
        <v>11447</v>
      </c>
      <c r="H95" s="27">
        <f t="shared" si="177"/>
        <v>36100</v>
      </c>
      <c r="I95" s="37">
        <f t="shared" si="177"/>
        <v>13461</v>
      </c>
      <c r="J95" s="37">
        <f t="shared" si="177"/>
        <v>15232</v>
      </c>
      <c r="K95" s="37">
        <f t="shared" si="177"/>
        <v>20793</v>
      </c>
      <c r="L95" s="37">
        <f t="shared" si="177"/>
        <v>32806</v>
      </c>
      <c r="M95" s="27">
        <f t="shared" si="177"/>
        <v>82292</v>
      </c>
      <c r="N95" s="37">
        <f t="shared" si="177"/>
        <v>31198</v>
      </c>
      <c r="O95" s="37">
        <f t="shared" si="177"/>
        <v>36922</v>
      </c>
      <c r="P95" s="37">
        <f>P84</f>
        <v>36779</v>
      </c>
      <c r="Q95" s="37">
        <f t="shared" si="177"/>
        <v>39721.32</v>
      </c>
      <c r="R95" s="27">
        <f t="shared" si="174"/>
        <v>144620.32</v>
      </c>
      <c r="S95" s="37">
        <f>S84</f>
        <v>42899.025600000001</v>
      </c>
      <c r="T95" s="37">
        <f>T84</f>
        <v>46330.947648000001</v>
      </c>
      <c r="U95" s="37">
        <f>U84</f>
        <v>50037.423459840007</v>
      </c>
      <c r="V95" s="37">
        <f>V84</f>
        <v>54040.417336627208</v>
      </c>
      <c r="W95" s="27">
        <f t="shared" si="175"/>
        <v>193307.8140444672</v>
      </c>
      <c r="Y95" s="113"/>
    </row>
    <row r="96" spans="2:25" s="52" customFormat="1" ht="15" customHeight="1" outlineLevel="1" x14ac:dyDescent="0.3">
      <c r="B96" s="74" t="s">
        <v>73</v>
      </c>
      <c r="C96" s="75"/>
      <c r="D96" s="37">
        <v>3794</v>
      </c>
      <c r="E96" s="37">
        <v>3919</v>
      </c>
      <c r="F96" s="37">
        <v>5130</v>
      </c>
      <c r="G96" s="37">
        <v>5743</v>
      </c>
      <c r="H96" s="27">
        <f>SUM(D96:G96)</f>
        <v>18586</v>
      </c>
      <c r="I96" s="37">
        <v>5546</v>
      </c>
      <c r="J96" s="37">
        <v>6410</v>
      </c>
      <c r="K96" s="37">
        <v>6570</v>
      </c>
      <c r="L96" s="37">
        <v>9100</v>
      </c>
      <c r="M96" s="27">
        <f>SUM(I96:L96)</f>
        <v>27626</v>
      </c>
      <c r="N96" s="37">
        <v>9118</v>
      </c>
      <c r="O96" s="37">
        <v>9018</v>
      </c>
      <c r="P96" s="37">
        <v>9681</v>
      </c>
      <c r="Q96" s="133">
        <f>P96</f>
        <v>9681</v>
      </c>
      <c r="R96" s="27">
        <f t="shared" si="174"/>
        <v>37498</v>
      </c>
      <c r="S96" s="133">
        <f>Q96</f>
        <v>9681</v>
      </c>
      <c r="T96" s="133">
        <f>S96</f>
        <v>9681</v>
      </c>
      <c r="U96" s="133">
        <f>T96</f>
        <v>9681</v>
      </c>
      <c r="V96" s="133">
        <f>U96</f>
        <v>9681</v>
      </c>
      <c r="W96" s="27">
        <f t="shared" si="175"/>
        <v>38724</v>
      </c>
      <c r="Y96" s="113"/>
    </row>
    <row r="97" spans="2:25" s="52" customFormat="1" ht="15" customHeight="1" outlineLevel="1" x14ac:dyDescent="0.3">
      <c r="B97" s="147" t="s">
        <v>181</v>
      </c>
      <c r="C97" s="148"/>
      <c r="D97" s="37">
        <v>0</v>
      </c>
      <c r="E97" s="37">
        <v>0</v>
      </c>
      <c r="F97" s="37">
        <v>0</v>
      </c>
      <c r="G97" s="37">
        <v>0</v>
      </c>
      <c r="H97" s="27">
        <f>SUM(D97:G97)</f>
        <v>0</v>
      </c>
      <c r="I97" s="37">
        <v>0</v>
      </c>
      <c r="J97" s="37">
        <v>0</v>
      </c>
      <c r="K97" s="37">
        <v>0</v>
      </c>
      <c r="L97" s="37">
        <v>0</v>
      </c>
      <c r="M97" s="27">
        <f>SUM(I97:L97)</f>
        <v>0</v>
      </c>
      <c r="N97" s="37">
        <v>50000</v>
      </c>
      <c r="O97" s="37">
        <v>-2000</v>
      </c>
      <c r="P97" s="37">
        <v>0</v>
      </c>
      <c r="Q97" s="133">
        <v>0</v>
      </c>
      <c r="R97" s="27">
        <f t="shared" si="174"/>
        <v>48000</v>
      </c>
      <c r="S97" s="133">
        <v>0</v>
      </c>
      <c r="T97" s="133">
        <v>0</v>
      </c>
      <c r="U97" s="133">
        <v>0</v>
      </c>
      <c r="V97" s="133">
        <v>0</v>
      </c>
      <c r="W97" s="27">
        <f t="shared" si="175"/>
        <v>0</v>
      </c>
      <c r="Y97" s="113"/>
    </row>
    <row r="98" spans="2:25" s="52" customFormat="1" ht="15" customHeight="1" outlineLevel="1" x14ac:dyDescent="0.3">
      <c r="B98" s="74" t="s">
        <v>179</v>
      </c>
      <c r="C98" s="75"/>
      <c r="D98" s="37">
        <f t="shared" ref="D98:O98" si="178">D35</f>
        <v>2</v>
      </c>
      <c r="E98" s="37">
        <f t="shared" si="178"/>
        <v>180</v>
      </c>
      <c r="F98" s="37">
        <f t="shared" si="178"/>
        <v>433</v>
      </c>
      <c r="G98" s="37">
        <f t="shared" si="178"/>
        <v>443</v>
      </c>
      <c r="H98" s="27">
        <f t="shared" si="178"/>
        <v>1058</v>
      </c>
      <c r="I98" s="37">
        <f t="shared" si="178"/>
        <v>414</v>
      </c>
      <c r="J98" s="37">
        <f t="shared" si="178"/>
        <v>444</v>
      </c>
      <c r="K98" s="37">
        <f t="shared" si="178"/>
        <v>137</v>
      </c>
      <c r="L98" s="37">
        <f t="shared" si="178"/>
        <v>168</v>
      </c>
      <c r="M98" s="27">
        <f t="shared" si="178"/>
        <v>1163</v>
      </c>
      <c r="N98" s="37">
        <f t="shared" si="178"/>
        <v>69</v>
      </c>
      <c r="O98" s="37">
        <f t="shared" si="178"/>
        <v>-129</v>
      </c>
      <c r="P98" s="37">
        <f>P35</f>
        <v>-183</v>
      </c>
      <c r="Q98" s="37">
        <f>Q35</f>
        <v>-30</v>
      </c>
      <c r="R98" s="27">
        <f t="shared" si="174"/>
        <v>-273</v>
      </c>
      <c r="S98" s="37">
        <f t="shared" ref="S98:V99" si="179">S35</f>
        <v>-30</v>
      </c>
      <c r="T98" s="37">
        <f t="shared" si="179"/>
        <v>-30</v>
      </c>
      <c r="U98" s="37">
        <f t="shared" si="179"/>
        <v>-30</v>
      </c>
      <c r="V98" s="37">
        <f t="shared" si="179"/>
        <v>-30</v>
      </c>
      <c r="W98" s="27">
        <f t="shared" si="175"/>
        <v>-120</v>
      </c>
      <c r="Y98" s="113"/>
    </row>
    <row r="99" spans="2:25" s="52" customFormat="1" ht="15" customHeight="1" outlineLevel="1" x14ac:dyDescent="0.3">
      <c r="B99" s="147" t="s">
        <v>180</v>
      </c>
      <c r="C99" s="148"/>
      <c r="D99" s="37">
        <f t="shared" ref="D99:O99" si="180">D36</f>
        <v>454</v>
      </c>
      <c r="E99" s="37">
        <f t="shared" si="180"/>
        <v>-674</v>
      </c>
      <c r="F99" s="37">
        <f t="shared" si="180"/>
        <v>957</v>
      </c>
      <c r="G99" s="37">
        <f t="shared" si="180"/>
        <v>367</v>
      </c>
      <c r="H99" s="27">
        <f t="shared" si="180"/>
        <v>1104</v>
      </c>
      <c r="I99" s="37">
        <f t="shared" si="180"/>
        <v>796</v>
      </c>
      <c r="J99" s="37">
        <f t="shared" si="180"/>
        <v>-50</v>
      </c>
      <c r="K99" s="37">
        <f t="shared" si="180"/>
        <v>644</v>
      </c>
      <c r="L99" s="37">
        <f t="shared" si="180"/>
        <v>-940</v>
      </c>
      <c r="M99" s="27">
        <f t="shared" si="180"/>
        <v>450</v>
      </c>
      <c r="N99" s="37">
        <f t="shared" si="180"/>
        <v>-786</v>
      </c>
      <c r="O99" s="37">
        <f t="shared" si="180"/>
        <v>-198</v>
      </c>
      <c r="P99" s="37">
        <f>P36</f>
        <v>294</v>
      </c>
      <c r="Q99" s="37">
        <f>Q36</f>
        <v>296.47134336517831</v>
      </c>
      <c r="R99" s="27">
        <f t="shared" si="174"/>
        <v>-393.52865663482169</v>
      </c>
      <c r="S99" s="37">
        <f t="shared" si="179"/>
        <v>302.90830648243059</v>
      </c>
      <c r="T99" s="37">
        <f t="shared" si="179"/>
        <v>348.82266809135268</v>
      </c>
      <c r="U99" s="37">
        <f t="shared" si="179"/>
        <v>367.40752997577601</v>
      </c>
      <c r="V99" s="37">
        <f t="shared" si="179"/>
        <v>380.52303292157222</v>
      </c>
      <c r="W99" s="27">
        <f t="shared" si="175"/>
        <v>1399.6615374711314</v>
      </c>
      <c r="Y99" s="113"/>
    </row>
    <row r="100" spans="2:25" s="52" customFormat="1" ht="15" customHeight="1" outlineLevel="1" x14ac:dyDescent="0.3">
      <c r="B100" s="147" t="s">
        <v>74</v>
      </c>
      <c r="C100" s="148"/>
      <c r="D100" s="35">
        <f t="shared" ref="D100:P100" si="181">D38</f>
        <v>-810</v>
      </c>
      <c r="E100" s="35">
        <f t="shared" si="181"/>
        <v>268</v>
      </c>
      <c r="F100" s="35">
        <f t="shared" si="181"/>
        <v>285</v>
      </c>
      <c r="G100" s="35">
        <f t="shared" si="181"/>
        <v>1697</v>
      </c>
      <c r="H100" s="229">
        <f t="shared" si="181"/>
        <v>1440</v>
      </c>
      <c r="I100" s="35">
        <f t="shared" si="181"/>
        <v>418</v>
      </c>
      <c r="J100" s="35">
        <f t="shared" si="181"/>
        <v>1152</v>
      </c>
      <c r="K100" s="35">
        <f t="shared" si="181"/>
        <v>932</v>
      </c>
      <c r="L100" s="35">
        <f t="shared" si="181"/>
        <v>1244</v>
      </c>
      <c r="M100" s="229">
        <f t="shared" si="181"/>
        <v>3746</v>
      </c>
      <c r="N100" s="35">
        <f t="shared" si="181"/>
        <v>339</v>
      </c>
      <c r="O100" s="35">
        <f t="shared" si="181"/>
        <v>312</v>
      </c>
      <c r="P100" s="35">
        <f t="shared" si="181"/>
        <v>230</v>
      </c>
      <c r="Q100" s="35">
        <f>Q38</f>
        <v>193.82064574863713</v>
      </c>
      <c r="R100" s="27">
        <f t="shared" si="174"/>
        <v>1074.8206457486372</v>
      </c>
      <c r="S100" s="35">
        <f>S38</f>
        <v>240.62729788279182</v>
      </c>
      <c r="T100" s="35">
        <f>T38</f>
        <v>281.63801987111549</v>
      </c>
      <c r="U100" s="35">
        <f>U38</f>
        <v>291.91060994588668</v>
      </c>
      <c r="V100" s="35">
        <f>V38</f>
        <v>307.25230581256835</v>
      </c>
      <c r="W100" s="27">
        <f t="shared" si="175"/>
        <v>1121.4282335123623</v>
      </c>
      <c r="Y100" s="113"/>
    </row>
    <row r="101" spans="2:25" s="52" customFormat="1" ht="15" customHeight="1" outlineLevel="1" x14ac:dyDescent="0.45">
      <c r="B101" s="147" t="s">
        <v>182</v>
      </c>
      <c r="C101" s="148"/>
      <c r="D101" s="189">
        <v>0</v>
      </c>
      <c r="E101" s="189">
        <v>0</v>
      </c>
      <c r="F101" s="189">
        <v>0</v>
      </c>
      <c r="G101" s="189">
        <v>133</v>
      </c>
      <c r="H101" s="191">
        <f>SUM(D101:G101)</f>
        <v>133</v>
      </c>
      <c r="I101" s="189">
        <v>240</v>
      </c>
      <c r="J101" s="189">
        <v>0</v>
      </c>
      <c r="K101" s="189">
        <v>0</v>
      </c>
      <c r="L101" s="189">
        <v>30</v>
      </c>
      <c r="M101" s="191">
        <f>SUM(I101:L101)</f>
        <v>270</v>
      </c>
      <c r="N101" s="189">
        <v>-38</v>
      </c>
      <c r="O101" s="189">
        <v>169</v>
      </c>
      <c r="P101" s="189">
        <v>-219</v>
      </c>
      <c r="Q101" s="302">
        <v>0</v>
      </c>
      <c r="R101" s="27">
        <f t="shared" si="174"/>
        <v>-88</v>
      </c>
      <c r="S101" s="302">
        <v>0</v>
      </c>
      <c r="T101" s="302">
        <v>0</v>
      </c>
      <c r="U101" s="302">
        <v>0</v>
      </c>
      <c r="V101" s="302">
        <v>0</v>
      </c>
      <c r="W101" s="27">
        <f t="shared" si="175"/>
        <v>0</v>
      </c>
      <c r="Y101" s="113"/>
    </row>
    <row r="102" spans="2:25" s="51" customFormat="1" ht="15" customHeight="1" x14ac:dyDescent="0.3">
      <c r="B102" s="99" t="s">
        <v>66</v>
      </c>
      <c r="C102" s="100"/>
      <c r="D102" s="192">
        <f>SUM(D92:D101)</f>
        <v>-27782</v>
      </c>
      <c r="E102" s="192">
        <f t="shared" ref="E102:G102" si="182">SUM(E92:E101)</f>
        <v>-16220</v>
      </c>
      <c r="F102" s="192">
        <f t="shared" si="182"/>
        <v>-13047</v>
      </c>
      <c r="G102" s="192">
        <f t="shared" si="182"/>
        <v>-10692</v>
      </c>
      <c r="H102" s="194">
        <f>SUM(H92:H100)</f>
        <v>-67874</v>
      </c>
      <c r="I102" s="192">
        <f>SUM(I92:I101)</f>
        <v>-20129</v>
      </c>
      <c r="J102" s="192">
        <f t="shared" ref="J102:L102" si="183">SUM(J92:J101)</f>
        <v>859</v>
      </c>
      <c r="K102" s="192">
        <f t="shared" si="183"/>
        <v>-15776</v>
      </c>
      <c r="L102" s="192">
        <f t="shared" si="183"/>
        <v>-6069</v>
      </c>
      <c r="M102" s="194">
        <f>SUM(M92:M100)</f>
        <v>-41385</v>
      </c>
      <c r="N102" s="192">
        <f t="shared" ref="N102:S102" si="184">SUM(N92:N101)</f>
        <v>-9083</v>
      </c>
      <c r="O102" s="192">
        <f t="shared" si="184"/>
        <v>12554</v>
      </c>
      <c r="P102" s="192">
        <f t="shared" si="184"/>
        <v>11623</v>
      </c>
      <c r="Q102" s="192">
        <f t="shared" si="184"/>
        <v>22624.069673752085</v>
      </c>
      <c r="R102" s="309">
        <f t="shared" si="184"/>
        <v>37718.069673752092</v>
      </c>
      <c r="S102" s="192">
        <f t="shared" si="184"/>
        <v>19277.056206689223</v>
      </c>
      <c r="T102" s="192">
        <f t="shared" ref="T102:V102" si="185">SUM(T92:T101)</f>
        <v>17032.470439031757</v>
      </c>
      <c r="U102" s="192">
        <f t="shared" si="185"/>
        <v>19324.147489844734</v>
      </c>
      <c r="V102" s="192">
        <f t="shared" si="185"/>
        <v>21199.556671971586</v>
      </c>
      <c r="W102" s="194">
        <f>SUM(W92:W101)</f>
        <v>76833.230807537286</v>
      </c>
      <c r="Y102" s="67"/>
    </row>
    <row r="103" spans="2:25" s="51" customFormat="1" ht="15" customHeight="1" x14ac:dyDescent="0.3">
      <c r="B103" s="310" t="s">
        <v>224</v>
      </c>
      <c r="C103" s="311"/>
      <c r="D103" s="313">
        <f>D102/D46</f>
        <v>-0.20515887960891174</v>
      </c>
      <c r="E103" s="313">
        <f t="shared" ref="E103:G103" si="186">E102/E46</f>
        <v>-0.11518168454988957</v>
      </c>
      <c r="F103" s="313">
        <f t="shared" si="186"/>
        <v>-9.0811646052439257E-2</v>
      </c>
      <c r="G103" s="313">
        <f t="shared" si="186"/>
        <v>-7.2228114381447134E-2</v>
      </c>
      <c r="H103" s="314">
        <f>SUM(D103:G103)</f>
        <v>-0.48338032459268765</v>
      </c>
      <c r="I103" s="313">
        <f>I102/I46</f>
        <v>-0.13875466157483679</v>
      </c>
      <c r="J103" s="313">
        <f t="shared" ref="J103" si="187">J102/J46</f>
        <v>5.7553282011081853E-3</v>
      </c>
      <c r="K103" s="313">
        <f t="shared" ref="K103" si="188">K102/K46</f>
        <v>-0.10356191001352291</v>
      </c>
      <c r="L103" s="313">
        <f t="shared" ref="L103" si="189">L102/L46</f>
        <v>-2.587530057813326E-2</v>
      </c>
      <c r="M103" s="314">
        <f>SUM(I103:L103)</f>
        <v>-0.26243654396538479</v>
      </c>
      <c r="N103" s="313">
        <f>N102/N46</f>
        <v>-2.7414253117794062E-2</v>
      </c>
      <c r="O103" s="313">
        <f t="shared" ref="O103" si="190">O102/O46</f>
        <v>3.7531989189447751E-2</v>
      </c>
      <c r="P103" s="313">
        <f t="shared" ref="P103" si="191">P102/P46</f>
        <v>3.3798303542090125E-2</v>
      </c>
      <c r="Q103" s="313">
        <f t="shared" ref="Q103" si="192">Q102/Q46</f>
        <v>6.3871949089131852E-2</v>
      </c>
      <c r="R103" s="314">
        <f>SUM(N103:Q103)</f>
        <v>0.10778798870287566</v>
      </c>
      <c r="S103" s="313">
        <f>S102/S46</f>
        <v>5.2837581226040389E-2</v>
      </c>
      <c r="T103" s="313">
        <f t="shared" ref="T103" si="193">T102/T46</f>
        <v>4.5325503166563898E-2</v>
      </c>
      <c r="U103" s="313">
        <f t="shared" ref="U103" si="194">U102/U46</f>
        <v>4.9446094479079078E-2</v>
      </c>
      <c r="V103" s="313">
        <f t="shared" ref="V103" si="195">V102/V46</f>
        <v>5.318121535111877E-2</v>
      </c>
      <c r="W103" s="314">
        <f>SUM(S103:V103)</f>
        <v>0.20079039422280215</v>
      </c>
      <c r="Y103" s="67"/>
    </row>
    <row r="104" spans="2:25" s="51" customFormat="1" ht="15" customHeight="1" x14ac:dyDescent="0.3">
      <c r="B104" s="248" t="s">
        <v>84</v>
      </c>
      <c r="C104" s="249"/>
      <c r="D104" s="268">
        <f t="shared" ref="D104:O104" si="196">D102/D15</f>
        <v>-0.16829212149113773</v>
      </c>
      <c r="E104" s="268">
        <f t="shared" si="196"/>
        <v>-7.8434785972649371E-2</v>
      </c>
      <c r="F104" s="268">
        <f t="shared" si="196"/>
        <v>-5.7369624483334797E-2</v>
      </c>
      <c r="G104" s="268">
        <f t="shared" si="196"/>
        <v>-4.261560659083119E-2</v>
      </c>
      <c r="H104" s="269">
        <f t="shared" si="196"/>
        <v>-7.9833731674727584E-2</v>
      </c>
      <c r="I104" s="268">
        <f t="shared" si="196"/>
        <v>-8.0337009143627999E-2</v>
      </c>
      <c r="J104" s="268">
        <f t="shared" si="196"/>
        <v>2.7708515449352124E-3</v>
      </c>
      <c r="K104" s="268">
        <f t="shared" si="196"/>
        <v>-4.7491179693426616E-2</v>
      </c>
      <c r="L104" s="268">
        <f t="shared" si="196"/>
        <v>-1.6211667913238595E-2</v>
      </c>
      <c r="M104" s="269">
        <f t="shared" si="196"/>
        <v>-3.2660730886941866E-2</v>
      </c>
      <c r="N104" s="268">
        <f t="shared" si="196"/>
        <v>-2.3948701317534519E-2</v>
      </c>
      <c r="O104" s="268">
        <f t="shared" si="196"/>
        <v>2.862726408274862E-2</v>
      </c>
      <c r="P104" s="50">
        <f>P102/P11</f>
        <v>2.9929418792986686E-2</v>
      </c>
      <c r="Q104" s="50">
        <f>Q102/Q11</f>
        <v>5.6622504237044353E-2</v>
      </c>
      <c r="R104" s="87">
        <f>R102/R15</f>
        <v>2.2193676708355429E-2</v>
      </c>
      <c r="S104" s="50">
        <f>S102/S11</f>
        <v>4.7299754350690282E-2</v>
      </c>
      <c r="T104" s="50">
        <f>T102/T11</f>
        <v>3.634109216648141E-2</v>
      </c>
      <c r="U104" s="50">
        <f>U102/U11</f>
        <v>3.9267330315933685E-2</v>
      </c>
      <c r="V104" s="50">
        <f>V102/V11</f>
        <v>4.1823520466967377E-2</v>
      </c>
      <c r="W104" s="87">
        <f>W102/W11</f>
        <v>4.0972625701071512E-2</v>
      </c>
      <c r="Y104" s="67"/>
    </row>
    <row r="105" spans="2:25" s="51" customFormat="1" ht="15" customHeight="1" outlineLevel="1" x14ac:dyDescent="0.45">
      <c r="B105" s="324" t="s">
        <v>203</v>
      </c>
      <c r="C105" s="325"/>
      <c r="D105" s="262"/>
      <c r="E105" s="26"/>
      <c r="F105" s="26"/>
      <c r="G105" s="26"/>
      <c r="H105" s="34"/>
      <c r="I105" s="26">
        <f>I44/G44-1</f>
        <v>-2.0009322371665417E-2</v>
      </c>
      <c r="J105" s="26">
        <f t="shared" ref="J105:L107" si="197">J44/I44-1</f>
        <v>2.8841447862741232E-2</v>
      </c>
      <c r="K105" s="26">
        <f t="shared" si="197"/>
        <v>2.064280114972572E-2</v>
      </c>
      <c r="L105" s="26">
        <f t="shared" si="197"/>
        <v>0.53969566872792685</v>
      </c>
      <c r="M105" s="263"/>
      <c r="N105" s="26">
        <f>N44/L44-1</f>
        <v>0.41260637481453699</v>
      </c>
      <c r="O105" s="26">
        <f t="shared" ref="O105:P107" si="198">O44/N44-1</f>
        <v>9.5495647764725078E-3</v>
      </c>
      <c r="P105" s="26">
        <f t="shared" si="198"/>
        <v>2.8117600631412776E-2</v>
      </c>
      <c r="Q105" s="28">
        <v>0.03</v>
      </c>
      <c r="R105" s="263"/>
      <c r="S105" s="28">
        <v>0.03</v>
      </c>
      <c r="T105" s="28">
        <v>0.03</v>
      </c>
      <c r="U105" s="28">
        <v>0.04</v>
      </c>
      <c r="V105" s="28">
        <v>0.02</v>
      </c>
      <c r="W105" s="263"/>
      <c r="Y105" s="67"/>
    </row>
    <row r="106" spans="2:25" s="51" customFormat="1" ht="15" customHeight="1" outlineLevel="1" x14ac:dyDescent="0.45">
      <c r="B106" s="324" t="s">
        <v>204</v>
      </c>
      <c r="C106" s="325"/>
      <c r="D106" s="262"/>
      <c r="E106" s="26"/>
      <c r="F106" s="26"/>
      <c r="G106" s="26"/>
      <c r="H106" s="34"/>
      <c r="I106" s="26">
        <f>I45/G45-1</f>
        <v>-2.0009322371665417E-2</v>
      </c>
      <c r="J106" s="26">
        <f t="shared" si="197"/>
        <v>2.8841447862741232E-2</v>
      </c>
      <c r="K106" s="26">
        <f t="shared" si="197"/>
        <v>2.064280114972572E-2</v>
      </c>
      <c r="L106" s="26">
        <f t="shared" si="197"/>
        <v>0.53969566872792685</v>
      </c>
      <c r="M106" s="263"/>
      <c r="N106" s="26">
        <f>N45/L45-1</f>
        <v>0.41260637481453699</v>
      </c>
      <c r="O106" s="26">
        <f t="shared" si="198"/>
        <v>9.5495647764725078E-3</v>
      </c>
      <c r="P106" s="26">
        <f t="shared" si="198"/>
        <v>2.8117600631412776E-2</v>
      </c>
      <c r="Q106" s="28">
        <v>0.03</v>
      </c>
      <c r="R106" s="263"/>
      <c r="S106" s="28">
        <v>0.03</v>
      </c>
      <c r="T106" s="28">
        <v>0.03</v>
      </c>
      <c r="U106" s="28">
        <v>0.04</v>
      </c>
      <c r="V106" s="28">
        <v>0.02</v>
      </c>
      <c r="W106" s="263"/>
      <c r="Y106" s="67"/>
    </row>
    <row r="107" spans="2:25" s="51" customFormat="1" ht="15" customHeight="1" outlineLevel="1" x14ac:dyDescent="0.45">
      <c r="B107" s="324" t="s">
        <v>205</v>
      </c>
      <c r="C107" s="325"/>
      <c r="D107" s="262"/>
      <c r="E107" s="26"/>
      <c r="F107" s="26"/>
      <c r="G107" s="26"/>
      <c r="H107" s="34"/>
      <c r="I107" s="26">
        <f>I46/G46-1</f>
        <v>-2.0009322371665417E-2</v>
      </c>
      <c r="J107" s="26">
        <f t="shared" si="197"/>
        <v>2.8841447862741232E-2</v>
      </c>
      <c r="K107" s="26">
        <f t="shared" si="197"/>
        <v>2.064280114972572E-2</v>
      </c>
      <c r="L107" s="26">
        <f t="shared" si="197"/>
        <v>0.53969566872792685</v>
      </c>
      <c r="M107" s="263"/>
      <c r="N107" s="26">
        <f>N46/L46-1</f>
        <v>0.41260637481453699</v>
      </c>
      <c r="O107" s="26">
        <f t="shared" si="198"/>
        <v>9.5495647764725078E-3</v>
      </c>
      <c r="P107" s="26">
        <f t="shared" si="198"/>
        <v>2.8117600631412776E-2</v>
      </c>
      <c r="Q107" s="28">
        <v>0.03</v>
      </c>
      <c r="R107" s="263"/>
      <c r="S107" s="28">
        <v>0.03</v>
      </c>
      <c r="T107" s="28">
        <v>0.03</v>
      </c>
      <c r="U107" s="28">
        <v>0.04</v>
      </c>
      <c r="V107" s="28">
        <v>0.02</v>
      </c>
      <c r="W107" s="263"/>
      <c r="Y107" s="67"/>
    </row>
    <row r="108" spans="2:25" s="51" customFormat="1" ht="15" customHeight="1" outlineLevel="1" x14ac:dyDescent="0.45">
      <c r="B108" s="324" t="s">
        <v>206</v>
      </c>
      <c r="C108" s="325"/>
      <c r="D108" s="262"/>
      <c r="E108" s="262"/>
      <c r="F108" s="262"/>
      <c r="G108" s="262"/>
      <c r="H108" s="263"/>
      <c r="I108" s="37"/>
      <c r="J108" s="37"/>
      <c r="K108" s="37"/>
      <c r="L108" s="37"/>
      <c r="M108" s="264"/>
      <c r="N108" s="37"/>
      <c r="O108" s="37"/>
      <c r="P108" s="37"/>
      <c r="Q108" s="37"/>
      <c r="R108" s="264"/>
      <c r="S108" s="37"/>
      <c r="T108" s="37"/>
      <c r="U108" s="37"/>
      <c r="V108" s="37"/>
      <c r="W108" s="264"/>
      <c r="Y108" s="67"/>
    </row>
    <row r="109" spans="2:25" s="51" customFormat="1" ht="15" customHeight="1" outlineLevel="1" x14ac:dyDescent="0.45">
      <c r="B109" s="324" t="s">
        <v>207</v>
      </c>
      <c r="C109" s="325"/>
      <c r="D109" s="262"/>
      <c r="E109" s="262"/>
      <c r="F109" s="262"/>
      <c r="G109" s="262"/>
      <c r="H109" s="263"/>
      <c r="I109" s="37"/>
      <c r="J109" s="35"/>
      <c r="K109" s="37"/>
      <c r="L109" s="37"/>
      <c r="M109" s="27"/>
      <c r="N109" s="37"/>
      <c r="O109" s="37"/>
      <c r="P109" s="37"/>
      <c r="Q109" s="37"/>
      <c r="R109" s="27"/>
      <c r="S109" s="37"/>
      <c r="T109" s="37"/>
      <c r="U109" s="37"/>
      <c r="V109" s="37"/>
      <c r="W109" s="27"/>
      <c r="Y109" s="67"/>
    </row>
    <row r="110" spans="2:25" s="51" customFormat="1" ht="15" customHeight="1" outlineLevel="1" x14ac:dyDescent="0.45">
      <c r="B110" s="324" t="s">
        <v>208</v>
      </c>
      <c r="C110" s="325"/>
      <c r="D110" s="262"/>
      <c r="E110" s="262"/>
      <c r="F110" s="262"/>
      <c r="G110" s="262"/>
      <c r="H110" s="263"/>
      <c r="I110" s="37"/>
      <c r="J110" s="37"/>
      <c r="K110" s="37"/>
      <c r="L110" s="37"/>
      <c r="M110" s="264"/>
      <c r="N110" s="37"/>
      <c r="O110" s="37"/>
      <c r="P110" s="37"/>
      <c r="Q110" s="37"/>
      <c r="R110" s="264"/>
      <c r="S110" s="37"/>
      <c r="T110" s="37"/>
      <c r="U110" s="37"/>
      <c r="V110" s="37"/>
      <c r="W110" s="264"/>
      <c r="Y110" s="67"/>
    </row>
    <row r="111" spans="2:25" s="51" customFormat="1" ht="15" customHeight="1" x14ac:dyDescent="0.45">
      <c r="B111" s="248" t="s">
        <v>209</v>
      </c>
      <c r="C111" s="265"/>
      <c r="D111" s="266"/>
      <c r="E111" s="266"/>
      <c r="F111" s="266"/>
      <c r="G111" s="266"/>
      <c r="H111" s="267"/>
      <c r="I111" s="266"/>
      <c r="J111" s="266"/>
      <c r="K111" s="266"/>
      <c r="L111" s="266"/>
      <c r="M111" s="267"/>
      <c r="N111" s="266"/>
      <c r="O111" s="266"/>
      <c r="P111" s="266"/>
      <c r="Q111" s="266"/>
      <c r="R111" s="267"/>
      <c r="S111" s="266"/>
      <c r="T111" s="266"/>
      <c r="U111" s="266"/>
      <c r="V111" s="266"/>
      <c r="W111" s="267"/>
      <c r="Y111" s="67"/>
    </row>
    <row r="112" spans="2:25" s="51" customFormat="1" ht="15" customHeight="1" x14ac:dyDescent="0.3">
      <c r="B112" s="20"/>
      <c r="C112" s="20"/>
      <c r="D112" s="85"/>
      <c r="E112" s="85"/>
      <c r="F112" s="85"/>
      <c r="G112" s="85"/>
      <c r="H112" s="85"/>
      <c r="I112" s="85"/>
      <c r="J112" s="85"/>
      <c r="K112" s="85"/>
      <c r="L112" s="85"/>
      <c r="M112" s="85"/>
      <c r="N112" s="85"/>
      <c r="O112" s="85"/>
      <c r="P112" s="26"/>
      <c r="Q112" s="26"/>
      <c r="R112" s="26"/>
      <c r="S112" s="26"/>
      <c r="T112" s="26"/>
      <c r="U112" s="26"/>
      <c r="V112" s="26"/>
      <c r="W112" s="26"/>
      <c r="Y112" s="67"/>
    </row>
    <row r="113" spans="2:38" s="51" customFormat="1" ht="15.6" x14ac:dyDescent="0.3">
      <c r="B113" s="318" t="s">
        <v>88</v>
      </c>
      <c r="C113" s="319"/>
      <c r="D113" s="196"/>
      <c r="E113" s="196"/>
      <c r="F113" s="196"/>
      <c r="G113" s="196"/>
      <c r="H113" s="196"/>
      <c r="I113" s="196"/>
      <c r="J113" s="196"/>
      <c r="K113" s="196"/>
      <c r="L113" s="196"/>
      <c r="M113" s="196"/>
      <c r="N113" s="196"/>
      <c r="O113" s="196"/>
      <c r="P113" s="116"/>
      <c r="Q113" s="116"/>
      <c r="R113" s="116"/>
      <c r="S113" s="116"/>
      <c r="T113" s="116"/>
      <c r="U113" s="116"/>
      <c r="V113" s="116"/>
      <c r="W113" s="116"/>
      <c r="X113" s="116"/>
      <c r="Y113" s="242"/>
      <c r="Z113" s="116"/>
      <c r="AA113" s="116"/>
      <c r="AB113" s="116"/>
      <c r="AC113" s="116"/>
      <c r="AD113" s="116"/>
      <c r="AE113" s="116"/>
      <c r="AF113" s="116"/>
      <c r="AG113" s="116"/>
      <c r="AH113" s="116"/>
      <c r="AI113" s="116"/>
      <c r="AJ113" s="116"/>
      <c r="AK113" s="116"/>
      <c r="AL113" s="116"/>
    </row>
    <row r="114" spans="2:38" s="51" customFormat="1" hidden="1" outlineLevel="1" x14ac:dyDescent="0.3">
      <c r="B114" s="338" t="s">
        <v>197</v>
      </c>
      <c r="C114" s="339"/>
      <c r="D114" s="153" t="s">
        <v>3</v>
      </c>
      <c r="E114" s="153" t="s">
        <v>2</v>
      </c>
      <c r="F114" s="153" t="s">
        <v>1</v>
      </c>
      <c r="G114" s="153" t="s">
        <v>4</v>
      </c>
      <c r="H114" s="153" t="s">
        <v>4</v>
      </c>
      <c r="I114" s="153" t="s">
        <v>5</v>
      </c>
      <c r="J114" s="153" t="s">
        <v>6</v>
      </c>
      <c r="K114" s="153" t="s">
        <v>7</v>
      </c>
      <c r="L114" s="153" t="s">
        <v>9</v>
      </c>
      <c r="M114" s="153" t="s">
        <v>9</v>
      </c>
      <c r="N114" s="153" t="s">
        <v>10</v>
      </c>
      <c r="O114" s="153" t="s">
        <v>11</v>
      </c>
      <c r="P114" s="153" t="s">
        <v>12</v>
      </c>
      <c r="Y114" s="67"/>
    </row>
    <row r="115" spans="2:38" s="51" customFormat="1" ht="16.2" hidden="1" outlineLevel="1" x14ac:dyDescent="0.45">
      <c r="B115" s="336"/>
      <c r="C115" s="337"/>
      <c r="D115" s="154" t="s">
        <v>29</v>
      </c>
      <c r="E115" s="154" t="s">
        <v>30</v>
      </c>
      <c r="F115" s="154" t="s">
        <v>31</v>
      </c>
      <c r="G115" s="154" t="s">
        <v>32</v>
      </c>
      <c r="H115" s="154" t="s">
        <v>23</v>
      </c>
      <c r="I115" s="154" t="s">
        <v>33</v>
      </c>
      <c r="J115" s="154" t="s">
        <v>34</v>
      </c>
      <c r="K115" s="154" t="s">
        <v>40</v>
      </c>
      <c r="L115" s="154" t="s">
        <v>75</v>
      </c>
      <c r="M115" s="154" t="s">
        <v>76</v>
      </c>
      <c r="N115" s="154" t="s">
        <v>130</v>
      </c>
      <c r="O115" s="154" t="s">
        <v>131</v>
      </c>
      <c r="P115" s="154" t="s">
        <v>226</v>
      </c>
      <c r="Y115" s="67"/>
    </row>
    <row r="116" spans="2:38" s="51" customFormat="1" hidden="1" outlineLevel="1" x14ac:dyDescent="0.3">
      <c r="B116" s="340" t="s">
        <v>89</v>
      </c>
      <c r="C116" s="341"/>
      <c r="D116" s="117"/>
      <c r="E116" s="118"/>
      <c r="F116" s="118"/>
      <c r="G116" s="119"/>
      <c r="H116" s="120"/>
      <c r="I116" s="121"/>
      <c r="J116" s="122"/>
      <c r="K116" s="123"/>
      <c r="L116" s="123"/>
      <c r="M116" s="124"/>
      <c r="N116" s="38"/>
      <c r="O116" s="38"/>
      <c r="P116" s="372"/>
      <c r="Y116" s="67"/>
    </row>
    <row r="117" spans="2:38" s="51" customFormat="1" hidden="1" outlineLevel="1" x14ac:dyDescent="0.3">
      <c r="B117" s="324" t="s">
        <v>90</v>
      </c>
      <c r="C117" s="325"/>
      <c r="D117" s="127"/>
      <c r="E117" s="132"/>
      <c r="F117" s="132"/>
      <c r="G117" s="197">
        <v>225300</v>
      </c>
      <c r="H117" s="198">
        <f>G117</f>
        <v>225300</v>
      </c>
      <c r="I117" s="159"/>
      <c r="J117" s="159">
        <v>197940</v>
      </c>
      <c r="K117" s="199">
        <v>174083</v>
      </c>
      <c r="L117" s="159">
        <v>470775</v>
      </c>
      <c r="M117" s="130">
        <f>L117</f>
        <v>470775</v>
      </c>
      <c r="N117" s="38">
        <v>370646</v>
      </c>
      <c r="O117" s="38">
        <v>342436</v>
      </c>
      <c r="P117" s="381">
        <v>437900</v>
      </c>
      <c r="Y117" s="67"/>
    </row>
    <row r="118" spans="2:38" s="51" customFormat="1" hidden="1" outlineLevel="1" x14ac:dyDescent="0.3">
      <c r="B118" s="324" t="s">
        <v>118</v>
      </c>
      <c r="C118" s="325"/>
      <c r="D118" s="127"/>
      <c r="E118" s="132"/>
      <c r="F118" s="132"/>
      <c r="G118" s="197">
        <v>0</v>
      </c>
      <c r="H118" s="198">
        <f t="shared" ref="H118:H123" si="199">G118</f>
        <v>0</v>
      </c>
      <c r="I118" s="159"/>
      <c r="J118" s="159">
        <v>0</v>
      </c>
      <c r="K118" s="159">
        <v>0</v>
      </c>
      <c r="L118" s="159">
        <v>0</v>
      </c>
      <c r="M118" s="130">
        <f t="shared" ref="M118:M122" si="200">L118</f>
        <v>0</v>
      </c>
      <c r="N118" s="38">
        <v>43447</v>
      </c>
      <c r="O118" s="38">
        <v>60991</v>
      </c>
      <c r="P118" s="381">
        <v>76427</v>
      </c>
      <c r="Y118" s="67"/>
    </row>
    <row r="119" spans="2:38" s="51" customFormat="1" hidden="1" outlineLevel="1" x14ac:dyDescent="0.3">
      <c r="B119" s="144" t="s">
        <v>147</v>
      </c>
      <c r="C119" s="145"/>
      <c r="D119" s="127"/>
      <c r="E119" s="132"/>
      <c r="F119" s="132"/>
      <c r="G119" s="197">
        <v>11950</v>
      </c>
      <c r="H119" s="198">
        <f t="shared" si="199"/>
        <v>11950</v>
      </c>
      <c r="I119" s="159"/>
      <c r="J119" s="159">
        <v>11951</v>
      </c>
      <c r="K119" s="159">
        <v>12017</v>
      </c>
      <c r="L119" s="159">
        <v>13537</v>
      </c>
      <c r="M119" s="130">
        <f t="shared" si="200"/>
        <v>13537</v>
      </c>
      <c r="N119" s="38">
        <v>13542</v>
      </c>
      <c r="O119" s="38">
        <v>13545</v>
      </c>
      <c r="P119" s="381">
        <v>13559</v>
      </c>
      <c r="Y119" s="67"/>
    </row>
    <row r="120" spans="2:38" s="51" customFormat="1" hidden="1" outlineLevel="1" x14ac:dyDescent="0.3">
      <c r="B120" s="324" t="s">
        <v>148</v>
      </c>
      <c r="C120" s="325"/>
      <c r="D120" s="127"/>
      <c r="E120" s="132"/>
      <c r="F120" s="132"/>
      <c r="G120" s="197">
        <v>115481</v>
      </c>
      <c r="H120" s="198">
        <f t="shared" si="199"/>
        <v>115481</v>
      </c>
      <c r="I120" s="159"/>
      <c r="J120" s="159">
        <v>171845</v>
      </c>
      <c r="K120" s="159">
        <v>156188</v>
      </c>
      <c r="L120" s="159">
        <v>142727</v>
      </c>
      <c r="M120" s="130">
        <f t="shared" si="200"/>
        <v>142727</v>
      </c>
      <c r="N120" s="38">
        <v>189049</v>
      </c>
      <c r="O120" s="38">
        <v>204541</v>
      </c>
      <c r="P120" s="381">
        <v>233812</v>
      </c>
      <c r="Y120" s="67"/>
    </row>
    <row r="121" spans="2:38" s="51" customFormat="1" hidden="1" outlineLevel="1" x14ac:dyDescent="0.3">
      <c r="B121" s="324" t="s">
        <v>149</v>
      </c>
      <c r="C121" s="325"/>
      <c r="D121" s="127"/>
      <c r="E121" s="132"/>
      <c r="F121" s="132"/>
      <c r="G121" s="197"/>
      <c r="H121" s="198">
        <f t="shared" si="199"/>
        <v>0</v>
      </c>
      <c r="I121" s="159"/>
      <c r="J121" s="159">
        <v>0</v>
      </c>
      <c r="K121" s="159">
        <v>0</v>
      </c>
      <c r="L121" s="159">
        <v>604</v>
      </c>
      <c r="M121" s="130">
        <f t="shared" si="200"/>
        <v>604</v>
      </c>
      <c r="N121" s="38">
        <v>0</v>
      </c>
      <c r="O121" s="38">
        <v>29774</v>
      </c>
      <c r="P121" s="381">
        <v>28817</v>
      </c>
      <c r="Y121" s="67"/>
    </row>
    <row r="122" spans="2:38" s="51" customFormat="1" hidden="1" outlineLevel="1" x14ac:dyDescent="0.3">
      <c r="B122" s="144" t="s">
        <v>150</v>
      </c>
      <c r="C122" s="145"/>
      <c r="D122" s="127"/>
      <c r="E122" s="132"/>
      <c r="F122" s="132"/>
      <c r="G122" s="197">
        <v>29302</v>
      </c>
      <c r="H122" s="198">
        <f t="shared" si="199"/>
        <v>29302</v>
      </c>
      <c r="I122" s="159"/>
      <c r="J122" s="159">
        <v>32486</v>
      </c>
      <c r="K122" s="159">
        <v>43638</v>
      </c>
      <c r="L122" s="159">
        <v>36473</v>
      </c>
      <c r="M122" s="130">
        <f t="shared" si="200"/>
        <v>36473</v>
      </c>
      <c r="N122" s="38">
        <v>48157</v>
      </c>
      <c r="O122" s="38">
        <v>21268</v>
      </c>
      <c r="P122" s="381">
        <v>8268</v>
      </c>
    </row>
    <row r="123" spans="2:38" s="51" customFormat="1" hidden="1" outlineLevel="1" x14ac:dyDescent="0.3">
      <c r="B123" s="324" t="s">
        <v>151</v>
      </c>
      <c r="C123" s="325"/>
      <c r="D123" s="127"/>
      <c r="E123" s="132"/>
      <c r="F123" s="132"/>
      <c r="G123" s="197">
        <v>27834</v>
      </c>
      <c r="H123" s="198">
        <f t="shared" si="199"/>
        <v>27834</v>
      </c>
      <c r="I123" s="159"/>
      <c r="J123" s="159">
        <v>32583</v>
      </c>
      <c r="K123" s="159">
        <v>32561</v>
      </c>
      <c r="L123" s="159">
        <v>41447</v>
      </c>
      <c r="M123" s="130">
        <f t="shared" ref="M123" si="201">L123</f>
        <v>41447</v>
      </c>
      <c r="N123" s="38">
        <v>55211</v>
      </c>
      <c r="O123" s="38">
        <v>48473</v>
      </c>
      <c r="P123" s="381">
        <v>44244</v>
      </c>
    </row>
    <row r="124" spans="2:38" s="51" customFormat="1" hidden="1" outlineLevel="1" x14ac:dyDescent="0.3">
      <c r="B124" s="342" t="s">
        <v>91</v>
      </c>
      <c r="C124" s="343"/>
      <c r="D124" s="166">
        <f t="shared" ref="D124:M124" si="202">SUM(D117:D123)</f>
        <v>0</v>
      </c>
      <c r="E124" s="166">
        <f t="shared" si="202"/>
        <v>0</v>
      </c>
      <c r="F124" s="166">
        <f t="shared" si="202"/>
        <v>0</v>
      </c>
      <c r="G124" s="167">
        <f t="shared" si="202"/>
        <v>409867</v>
      </c>
      <c r="H124" s="168">
        <f t="shared" si="202"/>
        <v>409867</v>
      </c>
      <c r="I124" s="169">
        <f t="shared" si="202"/>
        <v>0</v>
      </c>
      <c r="J124" s="169">
        <f t="shared" si="202"/>
        <v>446805</v>
      </c>
      <c r="K124" s="169">
        <f t="shared" si="202"/>
        <v>418487</v>
      </c>
      <c r="L124" s="169">
        <f t="shared" si="202"/>
        <v>705563</v>
      </c>
      <c r="M124" s="200">
        <f t="shared" si="202"/>
        <v>705563</v>
      </c>
      <c r="N124" s="77">
        <f>SUM(N117:N123)</f>
        <v>720052</v>
      </c>
      <c r="O124" s="77">
        <f>SUM(O117:O123)</f>
        <v>721028</v>
      </c>
      <c r="P124" s="375">
        <f>SUM(P117:P123)</f>
        <v>843027</v>
      </c>
    </row>
    <row r="125" spans="2:38" s="51" customFormat="1" hidden="1" outlineLevel="1" x14ac:dyDescent="0.3">
      <c r="B125" s="324" t="s">
        <v>92</v>
      </c>
      <c r="C125" s="325"/>
      <c r="D125" s="127"/>
      <c r="E125" s="132"/>
      <c r="F125" s="132"/>
      <c r="G125" s="197">
        <v>63733</v>
      </c>
      <c r="H125" s="198">
        <f t="shared" ref="H125:H130" si="203">G125</f>
        <v>63733</v>
      </c>
      <c r="I125" s="159"/>
      <c r="J125" s="159">
        <v>81294</v>
      </c>
      <c r="K125" s="159">
        <v>85012</v>
      </c>
      <c r="L125" s="159">
        <v>87222</v>
      </c>
      <c r="M125" s="130">
        <f t="shared" ref="M125:M130" si="204">L125</f>
        <v>87222</v>
      </c>
      <c r="N125" s="38">
        <v>89039</v>
      </c>
      <c r="O125" s="38">
        <v>86325</v>
      </c>
      <c r="P125" s="381">
        <v>89957</v>
      </c>
    </row>
    <row r="126" spans="2:38" s="51" customFormat="1" hidden="1" outlineLevel="1" x14ac:dyDescent="0.3">
      <c r="B126" s="108" t="s">
        <v>119</v>
      </c>
      <c r="C126" s="109"/>
      <c r="D126" s="127"/>
      <c r="E126" s="132"/>
      <c r="F126" s="132"/>
      <c r="G126" s="197">
        <v>40267</v>
      </c>
      <c r="H126" s="198">
        <f t="shared" si="203"/>
        <v>40267</v>
      </c>
      <c r="I126" s="159"/>
      <c r="J126" s="159">
        <v>54279</v>
      </c>
      <c r="K126" s="159">
        <v>56899</v>
      </c>
      <c r="L126" s="159">
        <v>56699</v>
      </c>
      <c r="M126" s="130">
        <f t="shared" si="204"/>
        <v>56699</v>
      </c>
      <c r="N126" s="38">
        <v>56699</v>
      </c>
      <c r="O126" s="38">
        <v>56699</v>
      </c>
      <c r="P126" s="381">
        <v>56699</v>
      </c>
    </row>
    <row r="127" spans="2:38" s="51" customFormat="1" hidden="1" outlineLevel="1" x14ac:dyDescent="0.3">
      <c r="B127" s="134" t="s">
        <v>152</v>
      </c>
      <c r="C127" s="135"/>
      <c r="D127" s="127"/>
      <c r="E127" s="132"/>
      <c r="F127" s="132"/>
      <c r="G127" s="197">
        <v>10279</v>
      </c>
      <c r="H127" s="198">
        <f t="shared" si="203"/>
        <v>10279</v>
      </c>
      <c r="I127" s="159"/>
      <c r="J127" s="159">
        <v>19618</v>
      </c>
      <c r="K127" s="159">
        <v>20726</v>
      </c>
      <c r="L127" s="159">
        <v>26776</v>
      </c>
      <c r="M127" s="130">
        <f t="shared" si="204"/>
        <v>26776</v>
      </c>
      <c r="N127" s="38">
        <v>24463</v>
      </c>
      <c r="O127" s="38">
        <v>22329</v>
      </c>
      <c r="P127" s="381">
        <v>20252</v>
      </c>
    </row>
    <row r="128" spans="2:38" s="51" customFormat="1" hidden="1" outlineLevel="1" x14ac:dyDescent="0.3">
      <c r="B128" s="144" t="s">
        <v>153</v>
      </c>
      <c r="C128" s="145"/>
      <c r="D128" s="127"/>
      <c r="E128" s="132"/>
      <c r="F128" s="132"/>
      <c r="G128" s="197">
        <v>0</v>
      </c>
      <c r="H128" s="198">
        <f t="shared" si="203"/>
        <v>0</v>
      </c>
      <c r="I128" s="159"/>
      <c r="J128" s="159">
        <v>0</v>
      </c>
      <c r="K128" s="159">
        <v>0</v>
      </c>
      <c r="L128" s="159">
        <v>0</v>
      </c>
      <c r="M128" s="130">
        <f t="shared" si="204"/>
        <v>0</v>
      </c>
      <c r="N128" s="38">
        <v>29715</v>
      </c>
      <c r="O128" s="38">
        <v>19602</v>
      </c>
      <c r="P128" s="381">
        <v>15478</v>
      </c>
    </row>
    <row r="129" spans="2:16" s="51" customFormat="1" hidden="1" outlineLevel="1" x14ac:dyDescent="0.3">
      <c r="B129" s="144" t="s">
        <v>147</v>
      </c>
      <c r="C129" s="145"/>
      <c r="D129" s="127"/>
      <c r="E129" s="132"/>
      <c r="F129" s="132"/>
      <c r="G129" s="197">
        <v>14394</v>
      </c>
      <c r="H129" s="198">
        <f t="shared" si="203"/>
        <v>14394</v>
      </c>
      <c r="I129" s="159"/>
      <c r="J129" s="159">
        <v>14394</v>
      </c>
      <c r="K129" s="159">
        <v>14579</v>
      </c>
      <c r="L129" s="159">
        <v>14686</v>
      </c>
      <c r="M129" s="130">
        <f t="shared" si="204"/>
        <v>14686</v>
      </c>
      <c r="N129" s="38">
        <v>14994</v>
      </c>
      <c r="O129" s="38">
        <v>23131</v>
      </c>
      <c r="P129" s="381">
        <v>23137</v>
      </c>
    </row>
    <row r="130" spans="2:16" s="51" customFormat="1" hidden="1" outlineLevel="1" x14ac:dyDescent="0.3">
      <c r="B130" s="324" t="s">
        <v>120</v>
      </c>
      <c r="C130" s="325"/>
      <c r="D130" s="127"/>
      <c r="E130" s="132"/>
      <c r="F130" s="132"/>
      <c r="G130" s="197">
        <v>3348</v>
      </c>
      <c r="H130" s="198">
        <f t="shared" si="203"/>
        <v>3348</v>
      </c>
      <c r="I130" s="159"/>
      <c r="J130" s="159">
        <v>2169</v>
      </c>
      <c r="K130" s="159">
        <v>2243</v>
      </c>
      <c r="L130" s="159">
        <v>3826</v>
      </c>
      <c r="M130" s="130">
        <f t="shared" si="204"/>
        <v>3826</v>
      </c>
      <c r="N130" s="38">
        <v>10107</v>
      </c>
      <c r="O130" s="38">
        <v>4178</v>
      </c>
      <c r="P130" s="381">
        <v>3658</v>
      </c>
    </row>
    <row r="131" spans="2:16" s="51" customFormat="1" hidden="1" outlineLevel="1" x14ac:dyDescent="0.3">
      <c r="B131" s="342" t="s">
        <v>93</v>
      </c>
      <c r="C131" s="343"/>
      <c r="D131" s="166">
        <f t="shared" ref="D131:I131" si="205">SUM(D124:D130)</f>
        <v>0</v>
      </c>
      <c r="E131" s="166">
        <f t="shared" si="205"/>
        <v>0</v>
      </c>
      <c r="F131" s="166">
        <f t="shared" si="205"/>
        <v>0</v>
      </c>
      <c r="G131" s="167">
        <f t="shared" si="205"/>
        <v>541888</v>
      </c>
      <c r="H131" s="168">
        <f t="shared" si="205"/>
        <v>541888</v>
      </c>
      <c r="I131" s="169">
        <f t="shared" si="205"/>
        <v>0</v>
      </c>
      <c r="J131" s="169">
        <f t="shared" ref="J131:M131" si="206">SUM(J124:J130)</f>
        <v>618559</v>
      </c>
      <c r="K131" s="169">
        <f t="shared" si="206"/>
        <v>597946</v>
      </c>
      <c r="L131" s="169">
        <f t="shared" si="206"/>
        <v>894772</v>
      </c>
      <c r="M131" s="200">
        <f t="shared" si="206"/>
        <v>894772</v>
      </c>
      <c r="N131" s="77">
        <f>SUM(N124:N130)</f>
        <v>945069</v>
      </c>
      <c r="O131" s="77">
        <f>SUM(O124:O130)</f>
        <v>933292</v>
      </c>
      <c r="P131" s="375">
        <f>SUM(P124:P130)</f>
        <v>1052208</v>
      </c>
    </row>
    <row r="132" spans="2:16" s="51" customFormat="1" ht="6.75" hidden="1" customHeight="1" outlineLevel="1" x14ac:dyDescent="0.3">
      <c r="B132" s="344"/>
      <c r="C132" s="345"/>
      <c r="D132" s="127"/>
      <c r="E132" s="132"/>
      <c r="F132" s="132"/>
      <c r="G132" s="197"/>
      <c r="H132" s="198"/>
      <c r="I132" s="159"/>
      <c r="J132" s="159"/>
      <c r="K132" s="159"/>
      <c r="L132" s="159"/>
      <c r="M132" s="130"/>
      <c r="N132" s="77"/>
      <c r="O132" s="38"/>
      <c r="P132" s="372"/>
    </row>
    <row r="133" spans="2:16" s="51" customFormat="1" hidden="1" outlineLevel="1" x14ac:dyDescent="0.3">
      <c r="B133" s="340" t="s">
        <v>94</v>
      </c>
      <c r="C133" s="341"/>
      <c r="D133" s="127"/>
      <c r="E133" s="132"/>
      <c r="F133" s="132"/>
      <c r="G133" s="197"/>
      <c r="H133" s="198"/>
      <c r="I133" s="159"/>
      <c r="J133" s="159"/>
      <c r="K133" s="159"/>
      <c r="L133" s="159"/>
      <c r="M133" s="130"/>
      <c r="N133" s="38"/>
      <c r="O133" s="38"/>
      <c r="P133" s="372"/>
    </row>
    <row r="134" spans="2:16" s="51" customFormat="1" hidden="1" outlineLevel="1" x14ac:dyDescent="0.3">
      <c r="B134" s="324" t="s">
        <v>95</v>
      </c>
      <c r="C134" s="325"/>
      <c r="D134" s="155"/>
      <c r="E134" s="156"/>
      <c r="F134" s="156"/>
      <c r="G134" s="157">
        <v>5436</v>
      </c>
      <c r="H134" s="158">
        <f t="shared" ref="H134:H138" si="207">G134</f>
        <v>5436</v>
      </c>
      <c r="I134" s="159"/>
      <c r="J134" s="159">
        <v>8864</v>
      </c>
      <c r="K134" s="159">
        <v>7528</v>
      </c>
      <c r="L134" s="159">
        <v>18869</v>
      </c>
      <c r="M134" s="130">
        <f>L134</f>
        <v>18869</v>
      </c>
      <c r="N134" s="38">
        <v>19580</v>
      </c>
      <c r="O134" s="38">
        <v>16211</v>
      </c>
      <c r="P134" s="381">
        <v>13719</v>
      </c>
    </row>
    <row r="135" spans="2:16" s="51" customFormat="1" hidden="1" outlineLevel="1" x14ac:dyDescent="0.3">
      <c r="B135" s="346" t="s">
        <v>154</v>
      </c>
      <c r="C135" s="347"/>
      <c r="D135" s="155"/>
      <c r="E135" s="156"/>
      <c r="F135" s="156"/>
      <c r="G135" s="157">
        <v>148648</v>
      </c>
      <c r="H135" s="158">
        <f t="shared" si="207"/>
        <v>148648</v>
      </c>
      <c r="I135" s="159"/>
      <c r="J135" s="159">
        <v>215892</v>
      </c>
      <c r="K135" s="159">
        <v>238085</v>
      </c>
      <c r="L135" s="159">
        <v>224811</v>
      </c>
      <c r="M135" s="130">
        <f t="shared" ref="M135:M138" si="208">L135</f>
        <v>224811</v>
      </c>
      <c r="N135" s="38">
        <v>283860</v>
      </c>
      <c r="O135" s="38">
        <v>310242</v>
      </c>
      <c r="P135" s="381">
        <v>364434</v>
      </c>
    </row>
    <row r="136" spans="2:16" s="51" customFormat="1" hidden="1" outlineLevel="1" x14ac:dyDescent="0.3">
      <c r="B136" s="346" t="s">
        <v>155</v>
      </c>
      <c r="C136" s="347"/>
      <c r="D136" s="155"/>
      <c r="E136" s="156"/>
      <c r="F136" s="156"/>
      <c r="G136" s="157">
        <v>8452</v>
      </c>
      <c r="H136" s="158">
        <f t="shared" si="207"/>
        <v>8452</v>
      </c>
      <c r="I136" s="159"/>
      <c r="J136" s="159">
        <v>15844</v>
      </c>
      <c r="K136" s="159">
        <v>16004</v>
      </c>
      <c r="L136" s="159">
        <v>17176</v>
      </c>
      <c r="M136" s="130">
        <f t="shared" si="208"/>
        <v>17176</v>
      </c>
      <c r="N136" s="38">
        <v>15419</v>
      </c>
      <c r="O136" s="38">
        <v>16093</v>
      </c>
      <c r="P136" s="381">
        <v>21428</v>
      </c>
    </row>
    <row r="137" spans="2:16" s="51" customFormat="1" hidden="1" outlineLevel="1" x14ac:dyDescent="0.3">
      <c r="B137" s="140" t="s">
        <v>156</v>
      </c>
      <c r="C137" s="141"/>
      <c r="D137" s="155"/>
      <c r="E137" s="156"/>
      <c r="F137" s="156"/>
      <c r="G137" s="157">
        <v>17368</v>
      </c>
      <c r="H137" s="158">
        <f t="shared" si="207"/>
        <v>17368</v>
      </c>
      <c r="I137" s="159"/>
      <c r="J137" s="159">
        <v>26595</v>
      </c>
      <c r="K137" s="159">
        <v>35669</v>
      </c>
      <c r="L137" s="159">
        <v>44401</v>
      </c>
      <c r="M137" s="130">
        <f t="shared" si="208"/>
        <v>44401</v>
      </c>
      <c r="N137" s="38">
        <v>97335</v>
      </c>
      <c r="O137" s="38">
        <v>26133</v>
      </c>
      <c r="P137" s="381">
        <v>41943</v>
      </c>
    </row>
    <row r="138" spans="2:16" s="51" customFormat="1" hidden="1" outlineLevel="1" x14ac:dyDescent="0.3">
      <c r="B138" s="346" t="s">
        <v>157</v>
      </c>
      <c r="C138" s="347"/>
      <c r="D138" s="155"/>
      <c r="E138" s="156"/>
      <c r="F138" s="156"/>
      <c r="G138" s="157">
        <v>11202</v>
      </c>
      <c r="H138" s="158">
        <f t="shared" si="207"/>
        <v>11202</v>
      </c>
      <c r="I138" s="159"/>
      <c r="J138" s="159">
        <v>10952</v>
      </c>
      <c r="K138" s="159">
        <v>13954</v>
      </c>
      <c r="L138" s="159">
        <v>28945</v>
      </c>
      <c r="M138" s="130">
        <f t="shared" si="208"/>
        <v>28945</v>
      </c>
      <c r="N138" s="38">
        <v>33738</v>
      </c>
      <c r="O138" s="38">
        <v>42790</v>
      </c>
      <c r="P138" s="381">
        <v>44500</v>
      </c>
    </row>
    <row r="139" spans="2:16" s="51" customFormat="1" hidden="1" outlineLevel="1" x14ac:dyDescent="0.3">
      <c r="B139" s="342" t="s">
        <v>96</v>
      </c>
      <c r="C139" s="343"/>
      <c r="D139" s="166">
        <f t="shared" ref="D139:M139" si="209">SUM(D134:D138)</f>
        <v>0</v>
      </c>
      <c r="E139" s="166">
        <f t="shared" si="209"/>
        <v>0</v>
      </c>
      <c r="F139" s="166">
        <f t="shared" si="209"/>
        <v>0</v>
      </c>
      <c r="G139" s="167">
        <f t="shared" si="209"/>
        <v>191106</v>
      </c>
      <c r="H139" s="168">
        <f t="shared" si="209"/>
        <v>191106</v>
      </c>
      <c r="I139" s="169">
        <f t="shared" si="209"/>
        <v>0</v>
      </c>
      <c r="J139" s="169">
        <f t="shared" si="209"/>
        <v>278147</v>
      </c>
      <c r="K139" s="169">
        <f t="shared" si="209"/>
        <v>311240</v>
      </c>
      <c r="L139" s="169">
        <f t="shared" si="209"/>
        <v>334202</v>
      </c>
      <c r="M139" s="200">
        <f t="shared" si="209"/>
        <v>334202</v>
      </c>
      <c r="N139" s="77">
        <f>SUM(N134:N138)</f>
        <v>449932</v>
      </c>
      <c r="O139" s="77">
        <f>SUM(O134:O138)</f>
        <v>411469</v>
      </c>
      <c r="P139" s="375">
        <f>SUM(P134:P138)</f>
        <v>486024</v>
      </c>
    </row>
    <row r="140" spans="2:16" s="51" customFormat="1" hidden="1" outlineLevel="1" x14ac:dyDescent="0.3">
      <c r="B140" s="140" t="s">
        <v>173</v>
      </c>
      <c r="C140" s="143"/>
      <c r="D140" s="166"/>
      <c r="E140" s="166"/>
      <c r="F140" s="166"/>
      <c r="G140" s="157">
        <v>30000</v>
      </c>
      <c r="H140" s="158">
        <f t="shared" ref="H140:H141" si="210">G140</f>
        <v>30000</v>
      </c>
      <c r="I140" s="159"/>
      <c r="J140" s="159">
        <v>30000</v>
      </c>
      <c r="K140" s="159">
        <v>0</v>
      </c>
      <c r="L140" s="159">
        <v>0</v>
      </c>
      <c r="M140" s="215">
        <v>0</v>
      </c>
      <c r="N140" s="203">
        <v>0</v>
      </c>
      <c r="O140" s="203">
        <v>0</v>
      </c>
      <c r="P140" s="381">
        <v>0</v>
      </c>
    </row>
    <row r="141" spans="2:16" s="51" customFormat="1" ht="15.75" hidden="1" customHeight="1" outlineLevel="1" x14ac:dyDescent="0.3">
      <c r="B141" s="324" t="s">
        <v>97</v>
      </c>
      <c r="C141" s="325"/>
      <c r="D141" s="155"/>
      <c r="E141" s="201"/>
      <c r="F141" s="156"/>
      <c r="G141" s="157">
        <v>47110</v>
      </c>
      <c r="H141" s="158">
        <f t="shared" si="210"/>
        <v>47110</v>
      </c>
      <c r="I141" s="159"/>
      <c r="J141" s="159">
        <v>48365</v>
      </c>
      <c r="K141" s="159">
        <v>50244</v>
      </c>
      <c r="L141" s="159">
        <v>52522</v>
      </c>
      <c r="M141" s="130">
        <f t="shared" ref="M141" si="211">L141</f>
        <v>52522</v>
      </c>
      <c r="N141" s="38">
        <v>50253</v>
      </c>
      <c r="O141" s="38">
        <v>50364</v>
      </c>
      <c r="P141" s="381">
        <v>55795</v>
      </c>
    </row>
    <row r="142" spans="2:16" s="51" customFormat="1" hidden="1" outlineLevel="1" x14ac:dyDescent="0.3">
      <c r="B142" s="342" t="s">
        <v>98</v>
      </c>
      <c r="C142" s="343"/>
      <c r="D142" s="166">
        <f t="shared" ref="D142:P142" si="212">SUM(D139:D141)</f>
        <v>0</v>
      </c>
      <c r="E142" s="166">
        <f t="shared" si="212"/>
        <v>0</v>
      </c>
      <c r="F142" s="166">
        <f t="shared" si="212"/>
        <v>0</v>
      </c>
      <c r="G142" s="167">
        <f t="shared" si="212"/>
        <v>268216</v>
      </c>
      <c r="H142" s="168">
        <f t="shared" si="212"/>
        <v>268216</v>
      </c>
      <c r="I142" s="169">
        <f t="shared" si="212"/>
        <v>0</v>
      </c>
      <c r="J142" s="169">
        <f t="shared" si="212"/>
        <v>356512</v>
      </c>
      <c r="K142" s="202">
        <f t="shared" si="212"/>
        <v>361484</v>
      </c>
      <c r="L142" s="169">
        <f t="shared" si="212"/>
        <v>386724</v>
      </c>
      <c r="M142" s="200">
        <f t="shared" si="212"/>
        <v>386724</v>
      </c>
      <c r="N142" s="77">
        <f t="shared" si="212"/>
        <v>500185</v>
      </c>
      <c r="O142" s="77">
        <f t="shared" si="212"/>
        <v>461833</v>
      </c>
      <c r="P142" s="375">
        <f t="shared" si="212"/>
        <v>541819</v>
      </c>
    </row>
    <row r="143" spans="2:16" s="51" customFormat="1" ht="6.75" hidden="1" customHeight="1" outlineLevel="1" x14ac:dyDescent="0.3">
      <c r="B143" s="344"/>
      <c r="C143" s="345"/>
      <c r="D143" s="155"/>
      <c r="E143" s="156"/>
      <c r="F143" s="156"/>
      <c r="G143" s="157"/>
      <c r="H143" s="158"/>
      <c r="I143" s="159"/>
      <c r="J143" s="159"/>
      <c r="K143" s="199"/>
      <c r="L143" s="159"/>
      <c r="M143" s="130"/>
      <c r="N143" s="38"/>
      <c r="O143" s="38"/>
      <c r="P143" s="372"/>
    </row>
    <row r="144" spans="2:16" s="51" customFormat="1" ht="15.6" hidden="1" customHeight="1" outlineLevel="1" x14ac:dyDescent="0.3">
      <c r="B144" s="138" t="s">
        <v>121</v>
      </c>
      <c r="C144" s="139"/>
      <c r="D144" s="155"/>
      <c r="E144" s="156"/>
      <c r="F144" s="156"/>
      <c r="G144" s="157">
        <v>0</v>
      </c>
      <c r="H144" s="158">
        <f>G144</f>
        <v>0</v>
      </c>
      <c r="I144" s="159"/>
      <c r="J144" s="159">
        <v>0</v>
      </c>
      <c r="K144" s="199">
        <v>0</v>
      </c>
      <c r="L144" s="159">
        <v>0</v>
      </c>
      <c r="M144" s="130">
        <f>L144</f>
        <v>0</v>
      </c>
      <c r="N144" s="38">
        <v>0</v>
      </c>
      <c r="O144" s="38">
        <v>0</v>
      </c>
      <c r="P144" s="381">
        <v>0</v>
      </c>
    </row>
    <row r="145" spans="2:16" s="51" customFormat="1" hidden="1" outlineLevel="1" x14ac:dyDescent="0.3">
      <c r="B145" s="340" t="s">
        <v>99</v>
      </c>
      <c r="C145" s="341"/>
      <c r="D145" s="155"/>
      <c r="E145" s="156"/>
      <c r="F145" s="156"/>
      <c r="G145" s="157"/>
      <c r="H145" s="158"/>
      <c r="I145" s="159"/>
      <c r="J145" s="159"/>
      <c r="K145" s="199"/>
      <c r="L145" s="159"/>
      <c r="M145" s="130"/>
      <c r="N145" s="38"/>
      <c r="O145" s="38"/>
      <c r="P145" s="381"/>
    </row>
    <row r="146" spans="2:16" s="52" customFormat="1" hidden="1" outlineLevel="1" x14ac:dyDescent="0.3">
      <c r="B146" s="110" t="s">
        <v>122</v>
      </c>
      <c r="C146" s="111"/>
      <c r="D146" s="127"/>
      <c r="E146" s="132"/>
      <c r="F146" s="132"/>
      <c r="G146" s="197">
        <v>514945</v>
      </c>
      <c r="H146" s="198">
        <f>G146</f>
        <v>514945</v>
      </c>
      <c r="I146" s="159"/>
      <c r="J146" s="159">
        <v>514945</v>
      </c>
      <c r="K146" s="199">
        <v>514945</v>
      </c>
      <c r="L146" s="199">
        <v>0</v>
      </c>
      <c r="M146" s="130">
        <f t="shared" ref="M146:M149" si="213">L146</f>
        <v>0</v>
      </c>
      <c r="N146" s="203">
        <v>0</v>
      </c>
      <c r="O146" s="203">
        <v>0</v>
      </c>
      <c r="P146" s="381">
        <v>0</v>
      </c>
    </row>
    <row r="147" spans="2:16" s="51" customFormat="1" hidden="1" outlineLevel="1" x14ac:dyDescent="0.3">
      <c r="B147" s="346" t="s">
        <v>124</v>
      </c>
      <c r="C147" s="347"/>
      <c r="D147" s="155"/>
      <c r="E147" s="201"/>
      <c r="F147" s="156"/>
      <c r="G147" s="157">
        <v>0</v>
      </c>
      <c r="H147" s="158">
        <f t="shared" ref="H147:H150" si="214">G147</f>
        <v>0</v>
      </c>
      <c r="I147" s="159"/>
      <c r="J147" s="159">
        <v>0</v>
      </c>
      <c r="K147" s="199">
        <v>0</v>
      </c>
      <c r="L147" s="199">
        <v>0</v>
      </c>
      <c r="M147" s="130">
        <f t="shared" si="213"/>
        <v>0</v>
      </c>
      <c r="N147" s="38">
        <v>0</v>
      </c>
      <c r="O147" s="38">
        <v>0</v>
      </c>
      <c r="P147" s="381">
        <v>0</v>
      </c>
    </row>
    <row r="148" spans="2:16" s="51" customFormat="1" hidden="1" outlineLevel="1" x14ac:dyDescent="0.3">
      <c r="B148" s="136" t="s">
        <v>123</v>
      </c>
      <c r="C148" s="137"/>
      <c r="D148" s="155"/>
      <c r="E148" s="201"/>
      <c r="F148" s="156"/>
      <c r="G148" s="157">
        <v>155166</v>
      </c>
      <c r="H148" s="158">
        <f t="shared" si="214"/>
        <v>155166</v>
      </c>
      <c r="I148" s="159"/>
      <c r="J148" s="159">
        <v>221491</v>
      </c>
      <c r="K148" s="199">
        <v>249954</v>
      </c>
      <c r="L148" s="199">
        <v>1116882</v>
      </c>
      <c r="M148" s="130">
        <f t="shared" si="213"/>
        <v>1116882</v>
      </c>
      <c r="N148" s="38">
        <v>1149634</v>
      </c>
      <c r="O148" s="38">
        <v>1203136</v>
      </c>
      <c r="P148" s="381">
        <v>1274248</v>
      </c>
    </row>
    <row r="149" spans="2:16" s="51" customFormat="1" hidden="1" outlineLevel="1" x14ac:dyDescent="0.3">
      <c r="B149" s="136" t="s">
        <v>125</v>
      </c>
      <c r="C149" s="137"/>
      <c r="D149" s="155"/>
      <c r="E149" s="201"/>
      <c r="F149" s="156"/>
      <c r="G149" s="157">
        <v>-807</v>
      </c>
      <c r="H149" s="158">
        <f t="shared" si="214"/>
        <v>-807</v>
      </c>
      <c r="I149" s="159"/>
      <c r="J149" s="159">
        <v>-1159</v>
      </c>
      <c r="K149" s="199">
        <v>-1277</v>
      </c>
      <c r="L149" s="199">
        <v>-607649</v>
      </c>
      <c r="M149" s="130">
        <f t="shared" si="213"/>
        <v>-607649</v>
      </c>
      <c r="N149" s="38">
        <v>-704404</v>
      </c>
      <c r="O149" s="38">
        <v>-731749</v>
      </c>
      <c r="P149" s="381">
        <v>-764072</v>
      </c>
    </row>
    <row r="150" spans="2:16" s="51" customFormat="1" hidden="1" outlineLevel="1" x14ac:dyDescent="0.3">
      <c r="B150" s="362" t="s">
        <v>158</v>
      </c>
      <c r="C150" s="363"/>
      <c r="D150" s="155"/>
      <c r="E150" s="201"/>
      <c r="F150" s="156"/>
      <c r="G150" s="157">
        <v>-395632</v>
      </c>
      <c r="H150" s="158">
        <f t="shared" si="214"/>
        <v>-395632</v>
      </c>
      <c r="I150" s="159"/>
      <c r="J150" s="159">
        <v>-473230</v>
      </c>
      <c r="K150" s="159">
        <v>-527160</v>
      </c>
      <c r="L150" s="159">
        <v>-1185</v>
      </c>
      <c r="M150" s="130">
        <f>L150</f>
        <v>-1185</v>
      </c>
      <c r="N150" s="38">
        <v>-346</v>
      </c>
      <c r="O150" s="38">
        <v>72</v>
      </c>
      <c r="P150" s="381">
        <v>213</v>
      </c>
    </row>
    <row r="151" spans="2:16" s="51" customFormat="1" hidden="1" outlineLevel="1" x14ac:dyDescent="0.3">
      <c r="B151" s="342" t="s">
        <v>100</v>
      </c>
      <c r="C151" s="343"/>
      <c r="D151" s="166">
        <f>SUM(D146:D150)</f>
        <v>0</v>
      </c>
      <c r="E151" s="166">
        <f>SUM(E146:E150)</f>
        <v>0</v>
      </c>
      <c r="F151" s="166">
        <f t="shared" ref="F151:J151" si="215">SUM(F146:F150)</f>
        <v>0</v>
      </c>
      <c r="G151" s="167">
        <f t="shared" si="215"/>
        <v>273672</v>
      </c>
      <c r="H151" s="168">
        <f t="shared" si="215"/>
        <v>273672</v>
      </c>
      <c r="I151" s="166">
        <f t="shared" si="215"/>
        <v>0</v>
      </c>
      <c r="J151" s="166">
        <f t="shared" si="215"/>
        <v>262047</v>
      </c>
      <c r="K151" s="204">
        <f>SUM(K146:K150)</f>
        <v>236462</v>
      </c>
      <c r="L151" s="204">
        <f t="shared" ref="L151:M151" si="216">SUM(L146:L150)</f>
        <v>508048</v>
      </c>
      <c r="M151" s="200">
        <f t="shared" si="216"/>
        <v>508048</v>
      </c>
      <c r="N151" s="38">
        <f>SUM(N148:N150)</f>
        <v>444884</v>
      </c>
      <c r="O151" s="77">
        <f>SUM(O146:O150)</f>
        <v>471459</v>
      </c>
      <c r="P151" s="375">
        <f>SUM(P146:P150)</f>
        <v>510389</v>
      </c>
    </row>
    <row r="152" spans="2:16" s="51" customFormat="1" hidden="1" outlineLevel="1" x14ac:dyDescent="0.3">
      <c r="B152" s="348" t="s">
        <v>101</v>
      </c>
      <c r="C152" s="349"/>
      <c r="D152" s="205">
        <f t="shared" ref="D152:I152" si="217">D151+D142</f>
        <v>0</v>
      </c>
      <c r="E152" s="205">
        <f t="shared" si="217"/>
        <v>0</v>
      </c>
      <c r="F152" s="205">
        <f t="shared" si="217"/>
        <v>0</v>
      </c>
      <c r="G152" s="206">
        <f t="shared" si="217"/>
        <v>541888</v>
      </c>
      <c r="H152" s="207">
        <f t="shared" si="217"/>
        <v>541888</v>
      </c>
      <c r="I152" s="205">
        <f t="shared" si="217"/>
        <v>0</v>
      </c>
      <c r="J152" s="205">
        <f t="shared" ref="J152:N152" si="218">J151+J142</f>
        <v>618559</v>
      </c>
      <c r="K152" s="208">
        <f>K151+K142</f>
        <v>597946</v>
      </c>
      <c r="L152" s="208">
        <f t="shared" si="218"/>
        <v>894772</v>
      </c>
      <c r="M152" s="209">
        <f t="shared" si="218"/>
        <v>894772</v>
      </c>
      <c r="N152" s="208">
        <f t="shared" si="218"/>
        <v>945069</v>
      </c>
      <c r="O152" s="316">
        <f>O142+O151</f>
        <v>933292</v>
      </c>
      <c r="P152" s="382">
        <f>P142+P151</f>
        <v>1052208</v>
      </c>
    </row>
    <row r="153" spans="2:16" s="51" customFormat="1" collapsed="1" x14ac:dyDescent="0.3">
      <c r="B153" s="17"/>
      <c r="C153" s="126"/>
      <c r="D153" s="149">
        <f t="shared" ref="D153:M153" si="219">D152-D131</f>
        <v>0</v>
      </c>
      <c r="E153" s="149">
        <f t="shared" si="219"/>
        <v>0</v>
      </c>
      <c r="F153" s="149">
        <f t="shared" si="219"/>
        <v>0</v>
      </c>
      <c r="G153" s="149">
        <f t="shared" si="219"/>
        <v>0</v>
      </c>
      <c r="H153" s="149">
        <f t="shared" si="219"/>
        <v>0</v>
      </c>
      <c r="I153" s="149">
        <f t="shared" si="219"/>
        <v>0</v>
      </c>
      <c r="J153" s="149">
        <f t="shared" si="219"/>
        <v>0</v>
      </c>
      <c r="K153" s="149">
        <f t="shared" si="219"/>
        <v>0</v>
      </c>
      <c r="L153" s="149">
        <f t="shared" si="219"/>
        <v>0</v>
      </c>
      <c r="M153" s="149">
        <f t="shared" si="219"/>
        <v>0</v>
      </c>
      <c r="N153" s="149">
        <f t="shared" ref="N153:P153" si="220">N152-N131</f>
        <v>0</v>
      </c>
      <c r="O153" s="149">
        <f t="shared" si="220"/>
        <v>0</v>
      </c>
      <c r="P153" s="149">
        <f t="shared" si="220"/>
        <v>0</v>
      </c>
    </row>
    <row r="154" spans="2:16" s="51" customFormat="1" ht="15.6" x14ac:dyDescent="0.3">
      <c r="B154" s="318" t="s">
        <v>102</v>
      </c>
      <c r="C154" s="319"/>
      <c r="D154" s="149"/>
      <c r="E154" s="149"/>
      <c r="F154" s="149"/>
      <c r="G154" s="149"/>
      <c r="H154" s="149"/>
      <c r="I154" s="151"/>
      <c r="J154" s="149"/>
      <c r="K154" s="150"/>
      <c r="L154" s="150"/>
      <c r="M154" s="150"/>
      <c r="N154" s="38"/>
      <c r="O154" s="38"/>
    </row>
    <row r="155" spans="2:16" s="51" customFormat="1" hidden="1" outlineLevel="1" x14ac:dyDescent="0.3">
      <c r="B155" s="336" t="s">
        <v>197</v>
      </c>
      <c r="C155" s="337"/>
      <c r="D155" s="153" t="s">
        <v>3</v>
      </c>
      <c r="E155" s="153" t="s">
        <v>2</v>
      </c>
      <c r="F155" s="153" t="s">
        <v>1</v>
      </c>
      <c r="G155" s="153" t="s">
        <v>4</v>
      </c>
      <c r="H155" s="153" t="s">
        <v>4</v>
      </c>
      <c r="I155" s="153" t="s">
        <v>5</v>
      </c>
      <c r="J155" s="153" t="s">
        <v>6</v>
      </c>
      <c r="K155" s="153" t="s">
        <v>7</v>
      </c>
      <c r="L155" s="153" t="s">
        <v>9</v>
      </c>
      <c r="M155" s="153" t="s">
        <v>9</v>
      </c>
      <c r="N155" s="153" t="s">
        <v>10</v>
      </c>
      <c r="O155" s="153" t="s">
        <v>11</v>
      </c>
      <c r="P155" s="153" t="s">
        <v>12</v>
      </c>
    </row>
    <row r="156" spans="2:16" s="51" customFormat="1" ht="16.2" hidden="1" outlineLevel="1" x14ac:dyDescent="0.45">
      <c r="B156" s="336"/>
      <c r="C156" s="337"/>
      <c r="D156" s="154" t="s">
        <v>29</v>
      </c>
      <c r="E156" s="154" t="s">
        <v>30</v>
      </c>
      <c r="F156" s="154" t="s">
        <v>31</v>
      </c>
      <c r="G156" s="154" t="s">
        <v>32</v>
      </c>
      <c r="H156" s="154" t="s">
        <v>23</v>
      </c>
      <c r="I156" s="154" t="s">
        <v>33</v>
      </c>
      <c r="J156" s="154" t="s">
        <v>34</v>
      </c>
      <c r="K156" s="154" t="s">
        <v>40</v>
      </c>
      <c r="L156" s="154" t="s">
        <v>75</v>
      </c>
      <c r="M156" s="154" t="s">
        <v>76</v>
      </c>
      <c r="N156" s="154" t="s">
        <v>130</v>
      </c>
      <c r="O156" s="154" t="s">
        <v>131</v>
      </c>
      <c r="P156" s="154" t="s">
        <v>226</v>
      </c>
    </row>
    <row r="157" spans="2:16" s="51" customFormat="1" hidden="1" outlineLevel="1" x14ac:dyDescent="0.3">
      <c r="B157" s="340" t="s">
        <v>103</v>
      </c>
      <c r="C157" s="341"/>
      <c r="D157" s="127"/>
      <c r="E157" s="128"/>
      <c r="F157" s="128"/>
      <c r="G157" s="129"/>
      <c r="H157" s="130"/>
      <c r="I157" s="131"/>
      <c r="J157" s="125"/>
      <c r="K157" s="123"/>
      <c r="L157" s="123"/>
      <c r="M157" s="124"/>
      <c r="N157" s="366"/>
      <c r="O157" s="367"/>
      <c r="P157" s="368"/>
    </row>
    <row r="158" spans="2:16" s="51" customFormat="1" hidden="1" outlineLevel="1" x14ac:dyDescent="0.3">
      <c r="B158" s="324" t="s">
        <v>104</v>
      </c>
      <c r="C158" s="325"/>
      <c r="D158" s="127"/>
      <c r="E158" s="132"/>
      <c r="F158" s="132"/>
      <c r="G158" s="197"/>
      <c r="H158" s="198">
        <f t="shared" ref="H158:P158" si="221">H39</f>
        <v>-154093</v>
      </c>
      <c r="I158" s="127">
        <f t="shared" si="221"/>
        <v>-47978</v>
      </c>
      <c r="J158" s="132">
        <f t="shared" si="221"/>
        <v>-29620</v>
      </c>
      <c r="K158" s="132">
        <f t="shared" si="221"/>
        <v>-53930</v>
      </c>
      <c r="L158" s="197">
        <f t="shared" si="221"/>
        <v>-48289</v>
      </c>
      <c r="M158" s="198">
        <f t="shared" si="221"/>
        <v>-179817</v>
      </c>
      <c r="N158" s="127">
        <f t="shared" si="221"/>
        <v>-96755</v>
      </c>
      <c r="O158" s="132">
        <f t="shared" si="221"/>
        <v>-27345</v>
      </c>
      <c r="P158" s="197">
        <f t="shared" si="221"/>
        <v>-32323</v>
      </c>
    </row>
    <row r="159" spans="2:16" s="51" customFormat="1" hidden="1" outlineLevel="1" x14ac:dyDescent="0.3">
      <c r="B159" s="324" t="s">
        <v>105</v>
      </c>
      <c r="C159" s="325"/>
      <c r="D159" s="127"/>
      <c r="E159" s="132"/>
      <c r="F159" s="132"/>
      <c r="G159" s="197"/>
      <c r="H159" s="130">
        <v>18586</v>
      </c>
      <c r="I159" s="127">
        <v>5546</v>
      </c>
      <c r="J159" s="132">
        <v>6410</v>
      </c>
      <c r="K159" s="128">
        <v>6570</v>
      </c>
      <c r="L159" s="128">
        <v>9100</v>
      </c>
      <c r="M159" s="198">
        <v>27626</v>
      </c>
      <c r="N159" s="369">
        <v>9118</v>
      </c>
      <c r="O159" s="370">
        <v>9018</v>
      </c>
      <c r="P159" s="371">
        <f>27817-O159-N159</f>
        <v>9681</v>
      </c>
    </row>
    <row r="160" spans="2:16" s="51" customFormat="1" hidden="1" outlineLevel="1" x14ac:dyDescent="0.3">
      <c r="B160" s="108" t="s">
        <v>106</v>
      </c>
      <c r="C160" s="109"/>
      <c r="D160" s="127"/>
      <c r="E160" s="128"/>
      <c r="F160" s="128"/>
      <c r="G160" s="129"/>
      <c r="H160" s="130">
        <v>36100</v>
      </c>
      <c r="I160" s="128">
        <f>I84</f>
        <v>13461</v>
      </c>
      <c r="J160" s="128">
        <f>28693-I160</f>
        <v>15232</v>
      </c>
      <c r="K160" s="128">
        <f>M160-L160-J160-I160</f>
        <v>20793</v>
      </c>
      <c r="L160" s="128">
        <f>L84</f>
        <v>32806</v>
      </c>
      <c r="M160" s="198">
        <v>82292</v>
      </c>
      <c r="N160" s="369">
        <v>31198</v>
      </c>
      <c r="O160" s="370">
        <v>36922</v>
      </c>
      <c r="P160" s="371">
        <f>104899-O160-N160</f>
        <v>36779</v>
      </c>
    </row>
    <row r="161" spans="2:16" s="51" customFormat="1" hidden="1" outlineLevel="1" x14ac:dyDescent="0.3">
      <c r="B161" s="246" t="s">
        <v>202</v>
      </c>
      <c r="C161" s="247"/>
      <c r="D161" s="127"/>
      <c r="E161" s="128"/>
      <c r="F161" s="128"/>
      <c r="G161" s="129"/>
      <c r="H161" s="130">
        <v>0</v>
      </c>
      <c r="I161" s="128">
        <v>0</v>
      </c>
      <c r="J161" s="128">
        <v>0</v>
      </c>
      <c r="K161" s="128">
        <v>1485</v>
      </c>
      <c r="L161" s="128">
        <v>-1485</v>
      </c>
      <c r="M161" s="198">
        <v>0</v>
      </c>
      <c r="N161" s="369">
        <v>0</v>
      </c>
      <c r="O161" s="370">
        <v>0</v>
      </c>
      <c r="P161" s="197">
        <v>0</v>
      </c>
    </row>
    <row r="162" spans="2:16" s="51" customFormat="1" hidden="1" outlineLevel="1" x14ac:dyDescent="0.3">
      <c r="B162" s="236" t="s">
        <v>198</v>
      </c>
      <c r="C162" s="237"/>
      <c r="D162" s="127"/>
      <c r="E162" s="128"/>
      <c r="F162" s="128"/>
      <c r="G162" s="129"/>
      <c r="H162" s="130">
        <v>-1348</v>
      </c>
      <c r="I162" s="128">
        <v>0</v>
      </c>
      <c r="J162" s="128">
        <v>0</v>
      </c>
      <c r="K162" s="128">
        <v>0</v>
      </c>
      <c r="L162" s="128">
        <v>-1101</v>
      </c>
      <c r="M162" s="198">
        <v>-1101</v>
      </c>
      <c r="N162" s="369">
        <v>0</v>
      </c>
      <c r="O162" s="370">
        <v>0</v>
      </c>
      <c r="P162" s="197">
        <v>0</v>
      </c>
    </row>
    <row r="163" spans="2:16" s="51" customFormat="1" hidden="1" outlineLevel="1" x14ac:dyDescent="0.3">
      <c r="B163" s="144" t="s">
        <v>175</v>
      </c>
      <c r="C163" s="145"/>
      <c r="D163" s="127"/>
      <c r="E163" s="128"/>
      <c r="F163" s="128"/>
      <c r="G163" s="129"/>
      <c r="H163" s="130">
        <v>18478</v>
      </c>
      <c r="I163" s="210">
        <v>13757</v>
      </c>
      <c r="J163" s="128">
        <f>21566-I163</f>
        <v>7809</v>
      </c>
      <c r="K163" s="128">
        <f>32967-J163-I163</f>
        <v>11401</v>
      </c>
      <c r="L163" s="132">
        <f>M163-K163-J163-I163</f>
        <v>10412</v>
      </c>
      <c r="M163" s="198">
        <v>43379</v>
      </c>
      <c r="N163" s="369">
        <v>7182</v>
      </c>
      <c r="O163" s="370">
        <v>16210</v>
      </c>
      <c r="P163" s="371">
        <f>36875-O163-N163</f>
        <v>13483</v>
      </c>
    </row>
    <row r="164" spans="2:16" s="51" customFormat="1" hidden="1" outlineLevel="1" x14ac:dyDescent="0.3">
      <c r="B164" s="134" t="s">
        <v>159</v>
      </c>
      <c r="C164" s="135"/>
      <c r="D164" s="127"/>
      <c r="E164" s="128"/>
      <c r="F164" s="128"/>
      <c r="G164" s="129"/>
      <c r="H164" s="130">
        <v>2431</v>
      </c>
      <c r="I164" s="210">
        <v>2504</v>
      </c>
      <c r="J164" s="128">
        <f>3148-I164</f>
        <v>644</v>
      </c>
      <c r="K164" s="128">
        <f>4616-J164-I164</f>
        <v>1468</v>
      </c>
      <c r="L164" s="128">
        <f>M164-K164-J164-I164</f>
        <v>1624</v>
      </c>
      <c r="M164" s="198">
        <v>6240</v>
      </c>
      <c r="N164" s="369">
        <v>73</v>
      </c>
      <c r="O164" s="370">
        <v>-166</v>
      </c>
      <c r="P164" s="371">
        <f>509-O164-N164</f>
        <v>602</v>
      </c>
    </row>
    <row r="165" spans="2:16" s="51" customFormat="1" hidden="1" outlineLevel="1" x14ac:dyDescent="0.3">
      <c r="B165" s="134" t="s">
        <v>160</v>
      </c>
      <c r="C165" s="135"/>
      <c r="D165" s="127"/>
      <c r="E165" s="128"/>
      <c r="F165" s="128"/>
      <c r="G165" s="129"/>
      <c r="H165" s="130">
        <v>-2664</v>
      </c>
      <c r="I165" s="210">
        <v>-207</v>
      </c>
      <c r="J165" s="128">
        <f>-207-I165</f>
        <v>0</v>
      </c>
      <c r="K165" s="128">
        <v>0</v>
      </c>
      <c r="L165" s="132">
        <f>M165-K165-J165-I165</f>
        <v>233</v>
      </c>
      <c r="M165" s="198">
        <v>26</v>
      </c>
      <c r="N165" s="369">
        <v>78</v>
      </c>
      <c r="O165" s="370">
        <v>-15</v>
      </c>
      <c r="P165" s="371">
        <f>-104-O165-N165</f>
        <v>-167</v>
      </c>
    </row>
    <row r="166" spans="2:16" s="51" customFormat="1" hidden="1" outlineLevel="1" x14ac:dyDescent="0.3">
      <c r="B166" s="324" t="s">
        <v>161</v>
      </c>
      <c r="C166" s="325"/>
      <c r="D166" s="127"/>
      <c r="E166" s="128"/>
      <c r="F166" s="128"/>
      <c r="G166" s="129"/>
      <c r="H166" s="130">
        <v>133</v>
      </c>
      <c r="I166" s="210">
        <v>240</v>
      </c>
      <c r="J166" s="128">
        <v>0</v>
      </c>
      <c r="K166" s="128">
        <v>-240</v>
      </c>
      <c r="L166" s="132">
        <f>M166-K166-J166-I166</f>
        <v>270</v>
      </c>
      <c r="M166" s="198">
        <v>270</v>
      </c>
      <c r="N166" s="369">
        <v>-38</v>
      </c>
      <c r="O166" s="370">
        <v>169</v>
      </c>
      <c r="P166" s="371">
        <f>-88-O166-N166</f>
        <v>-219</v>
      </c>
    </row>
    <row r="167" spans="2:16" s="51" customFormat="1" ht="4.5" hidden="1" customHeight="1" outlineLevel="1" x14ac:dyDescent="0.3">
      <c r="B167" s="344"/>
      <c r="C167" s="345"/>
      <c r="D167" s="127"/>
      <c r="E167" s="128"/>
      <c r="F167" s="128"/>
      <c r="G167" s="129"/>
      <c r="H167" s="130"/>
      <c r="I167" s="210"/>
      <c r="J167" s="128"/>
      <c r="K167" s="128"/>
      <c r="L167" s="132"/>
      <c r="M167" s="198"/>
      <c r="N167" s="369"/>
      <c r="O167" s="370"/>
      <c r="P167" s="372"/>
    </row>
    <row r="168" spans="2:16" s="51" customFormat="1" hidden="1" outlineLevel="1" x14ac:dyDescent="0.3">
      <c r="B168" s="340" t="s">
        <v>107</v>
      </c>
      <c r="C168" s="341"/>
      <c r="D168" s="127"/>
      <c r="E168" s="128"/>
      <c r="F168" s="128"/>
      <c r="G168" s="129"/>
      <c r="H168" s="130"/>
      <c r="I168" s="210"/>
      <c r="J168" s="128"/>
      <c r="K168" s="128"/>
      <c r="L168" s="128"/>
      <c r="M168" s="198"/>
      <c r="N168" s="369"/>
      <c r="O168" s="370"/>
      <c r="P168" s="372"/>
    </row>
    <row r="169" spans="2:16" s="51" customFormat="1" hidden="1" outlineLevel="1" x14ac:dyDescent="0.3">
      <c r="B169" s="346" t="s">
        <v>148</v>
      </c>
      <c r="C169" s="347"/>
      <c r="D169" s="127"/>
      <c r="E169" s="132"/>
      <c r="F169" s="132"/>
      <c r="G169" s="197"/>
      <c r="H169" s="130">
        <v>-50361</v>
      </c>
      <c r="I169" s="127">
        <v>-34030</v>
      </c>
      <c r="J169" s="132">
        <f>-56326-I169</f>
        <v>-22296</v>
      </c>
      <c r="K169" s="132">
        <f>-40729-J169-I169</f>
        <v>15597</v>
      </c>
      <c r="L169" s="132">
        <f>M169-K169-J169-I169</f>
        <v>13309</v>
      </c>
      <c r="M169" s="130">
        <v>-27420</v>
      </c>
      <c r="N169" s="369">
        <v>-46503</v>
      </c>
      <c r="O169" s="370">
        <f>-62169-N169</f>
        <v>-15666</v>
      </c>
      <c r="P169" s="371">
        <f>-91390-O169-N169</f>
        <v>-29221</v>
      </c>
    </row>
    <row r="170" spans="2:16" s="51" customFormat="1" hidden="1" outlineLevel="1" x14ac:dyDescent="0.3">
      <c r="B170" s="346" t="s">
        <v>162</v>
      </c>
      <c r="C170" s="347"/>
      <c r="D170" s="127"/>
      <c r="E170" s="132"/>
      <c r="F170" s="132"/>
      <c r="G170" s="197"/>
      <c r="H170" s="130">
        <f>SUM(D170:G170)</f>
        <v>0</v>
      </c>
      <c r="I170" s="127">
        <v>0</v>
      </c>
      <c r="J170" s="230">
        <v>0</v>
      </c>
      <c r="K170" s="132">
        <v>0</v>
      </c>
      <c r="L170" s="132">
        <v>0</v>
      </c>
      <c r="M170" s="130">
        <f>SUM(I170:L170)</f>
        <v>0</v>
      </c>
      <c r="N170" s="369">
        <v>0</v>
      </c>
      <c r="O170" s="370">
        <f>-212727</f>
        <v>-212727</v>
      </c>
      <c r="P170" s="371">
        <f>-421243-O170</f>
        <v>-208516</v>
      </c>
    </row>
    <row r="171" spans="2:16" s="51" customFormat="1" hidden="1" outlineLevel="1" x14ac:dyDescent="0.3">
      <c r="B171" s="346" t="s">
        <v>163</v>
      </c>
      <c r="C171" s="347"/>
      <c r="D171" s="127"/>
      <c r="E171" s="132"/>
      <c r="F171" s="132"/>
      <c r="G171" s="197"/>
      <c r="H171" s="198">
        <f t="shared" ref="H171" si="222">SUM(D171:G171)</f>
        <v>0</v>
      </c>
      <c r="I171" s="127">
        <v>0</v>
      </c>
      <c r="J171" s="132">
        <v>0</v>
      </c>
      <c r="K171" s="132">
        <v>0</v>
      </c>
      <c r="L171" s="132">
        <v>0</v>
      </c>
      <c r="M171" s="198">
        <f t="shared" ref="M171:M186" si="223">SUM(I171:L171)</f>
        <v>0</v>
      </c>
      <c r="N171" s="369">
        <v>0</v>
      </c>
      <c r="O171" s="370">
        <v>183748</v>
      </c>
      <c r="P171" s="371">
        <f>393221-O171</f>
        <v>209473</v>
      </c>
    </row>
    <row r="172" spans="2:16" s="51" customFormat="1" hidden="1" outlineLevel="1" x14ac:dyDescent="0.3">
      <c r="B172" s="110" t="s">
        <v>150</v>
      </c>
      <c r="C172" s="111"/>
      <c r="D172" s="127"/>
      <c r="E172" s="132"/>
      <c r="F172" s="132"/>
      <c r="G172" s="197"/>
      <c r="H172" s="198">
        <v>-31733</v>
      </c>
      <c r="I172" s="127">
        <v>-3895</v>
      </c>
      <c r="J172" s="132">
        <f>-6145-I172</f>
        <v>-2250</v>
      </c>
      <c r="K172" s="132">
        <f>-18725-J172-I172</f>
        <v>-12580</v>
      </c>
      <c r="L172" s="132">
        <f t="shared" ref="L172:L180" si="224">M172-K172-J172-I172</f>
        <v>5314</v>
      </c>
      <c r="M172" s="198">
        <v>-13411</v>
      </c>
      <c r="N172" s="369">
        <v>-11756</v>
      </c>
      <c r="O172" s="370">
        <f>15298-N172</f>
        <v>27054</v>
      </c>
      <c r="P172" s="371">
        <f>27696-O172-N172</f>
        <v>12398</v>
      </c>
    </row>
    <row r="173" spans="2:16" s="51" customFormat="1" hidden="1" outlineLevel="1" x14ac:dyDescent="0.3">
      <c r="B173" s="140" t="s">
        <v>151</v>
      </c>
      <c r="C173" s="141"/>
      <c r="D173" s="127"/>
      <c r="E173" s="132"/>
      <c r="F173" s="132"/>
      <c r="G173" s="197"/>
      <c r="H173" s="198">
        <v>-14323</v>
      </c>
      <c r="I173" s="127">
        <v>3210</v>
      </c>
      <c r="J173" s="132">
        <f>-4735-I173</f>
        <v>-7945</v>
      </c>
      <c r="K173" s="132">
        <f>-4457-J173-I173</f>
        <v>278</v>
      </c>
      <c r="L173" s="132">
        <f t="shared" si="224"/>
        <v>-8768</v>
      </c>
      <c r="M173" s="198">
        <v>-13225</v>
      </c>
      <c r="N173" s="369">
        <v>-13327</v>
      </c>
      <c r="O173" s="370">
        <f>-7313-N173</f>
        <v>6014</v>
      </c>
      <c r="P173" s="371">
        <f>-3011-O173-N173</f>
        <v>4302</v>
      </c>
    </row>
    <row r="174" spans="2:16" s="51" customFormat="1" hidden="1" outlineLevel="1" x14ac:dyDescent="0.3">
      <c r="B174" s="140" t="s">
        <v>120</v>
      </c>
      <c r="C174" s="141"/>
      <c r="D174" s="127"/>
      <c r="E174" s="132"/>
      <c r="F174" s="132"/>
      <c r="G174" s="197"/>
      <c r="H174" s="198">
        <v>-636</v>
      </c>
      <c r="I174" s="127">
        <v>821</v>
      </c>
      <c r="J174" s="132">
        <f>1177-I174</f>
        <v>356</v>
      </c>
      <c r="K174" s="132">
        <f>1102-J174-I174</f>
        <v>-75</v>
      </c>
      <c r="L174" s="132">
        <f t="shared" si="224"/>
        <v>118</v>
      </c>
      <c r="M174" s="198">
        <v>1220</v>
      </c>
      <c r="N174" s="369">
        <v>-6301</v>
      </c>
      <c r="O174" s="370">
        <f>-377-N174</f>
        <v>5924</v>
      </c>
      <c r="P174" s="371">
        <f>145-O174-N174</f>
        <v>522</v>
      </c>
    </row>
    <row r="175" spans="2:16" s="51" customFormat="1" hidden="1" outlineLevel="1" x14ac:dyDescent="0.3">
      <c r="B175" s="140" t="s">
        <v>95</v>
      </c>
      <c r="C175" s="141"/>
      <c r="D175" s="127"/>
      <c r="E175" s="132"/>
      <c r="F175" s="132"/>
      <c r="G175" s="197"/>
      <c r="H175" s="198">
        <v>179</v>
      </c>
      <c r="I175" s="127">
        <v>4683</v>
      </c>
      <c r="J175" s="132">
        <f>3408-I175</f>
        <v>-1275</v>
      </c>
      <c r="K175" s="132">
        <f>2048-J175-I175</f>
        <v>-1360</v>
      </c>
      <c r="L175" s="132">
        <f t="shared" si="224"/>
        <v>5783</v>
      </c>
      <c r="M175" s="198">
        <v>7831</v>
      </c>
      <c r="N175" s="369">
        <v>2576</v>
      </c>
      <c r="O175" s="370">
        <f>2538-N175</f>
        <v>-38</v>
      </c>
      <c r="P175" s="371">
        <f>-867-O175-N175</f>
        <v>-3405</v>
      </c>
    </row>
    <row r="176" spans="2:16" s="51" customFormat="1" hidden="1" outlineLevel="1" x14ac:dyDescent="0.3">
      <c r="B176" s="140" t="s">
        <v>154</v>
      </c>
      <c r="C176" s="141"/>
      <c r="D176" s="127"/>
      <c r="E176" s="132"/>
      <c r="F176" s="132"/>
      <c r="G176" s="197"/>
      <c r="H176" s="198">
        <v>52956</v>
      </c>
      <c r="I176" s="127">
        <v>38631</v>
      </c>
      <c r="J176" s="132">
        <f>67286-I176</f>
        <v>28655</v>
      </c>
      <c r="K176" s="132">
        <f>89446-J176-I176</f>
        <v>22160</v>
      </c>
      <c r="L176" s="132">
        <f t="shared" si="224"/>
        <v>-13438</v>
      </c>
      <c r="M176" s="198">
        <v>76008</v>
      </c>
      <c r="N176" s="369">
        <v>58866</v>
      </c>
      <c r="O176" s="370">
        <f>84826-N176</f>
        <v>25960</v>
      </c>
      <c r="P176" s="371">
        <f>139105-O176-N176</f>
        <v>54279</v>
      </c>
    </row>
    <row r="177" spans="2:16" s="51" customFormat="1" hidden="1" outlineLevel="1" x14ac:dyDescent="0.3">
      <c r="B177" s="140" t="s">
        <v>164</v>
      </c>
      <c r="C177" s="141"/>
      <c r="D177" s="127"/>
      <c r="E177" s="132"/>
      <c r="F177" s="132"/>
      <c r="G177" s="197"/>
      <c r="H177" s="198">
        <v>-17514</v>
      </c>
      <c r="I177" s="127">
        <v>-5398</v>
      </c>
      <c r="J177" s="132">
        <f>-14174-I177</f>
        <v>-8776</v>
      </c>
      <c r="K177" s="132">
        <f>-25415-J177-I177</f>
        <v>-11241</v>
      </c>
      <c r="L177" s="132">
        <f t="shared" si="224"/>
        <v>-9240</v>
      </c>
      <c r="M177" s="198">
        <v>-34655</v>
      </c>
      <c r="N177" s="369">
        <v>-8939</v>
      </c>
      <c r="O177" s="370">
        <f>-24475-N177</f>
        <v>-15536</v>
      </c>
      <c r="P177" s="371">
        <f>-32623-O177-N177</f>
        <v>-8148</v>
      </c>
    </row>
    <row r="178" spans="2:16" s="51" customFormat="1" hidden="1" outlineLevel="1" x14ac:dyDescent="0.3">
      <c r="B178" s="140" t="s">
        <v>165</v>
      </c>
      <c r="C178" s="141"/>
      <c r="D178" s="127"/>
      <c r="E178" s="132"/>
      <c r="F178" s="132"/>
      <c r="G178" s="197"/>
      <c r="H178" s="198">
        <v>8113</v>
      </c>
      <c r="I178" s="127">
        <v>-5443</v>
      </c>
      <c r="J178" s="132">
        <f>3834-I178</f>
        <v>9277</v>
      </c>
      <c r="K178" s="132">
        <f>13950-J178-I178</f>
        <v>10116</v>
      </c>
      <c r="L178" s="132">
        <f t="shared" si="224"/>
        <v>7500</v>
      </c>
      <c r="M178" s="198">
        <v>21450</v>
      </c>
      <c r="N178" s="369">
        <v>55810</v>
      </c>
      <c r="O178" s="370">
        <f>-13784-N178</f>
        <v>-69594</v>
      </c>
      <c r="P178" s="371">
        <f>86-O178-N178</f>
        <v>13870</v>
      </c>
    </row>
    <row r="179" spans="2:16" s="51" customFormat="1" hidden="1" outlineLevel="1" x14ac:dyDescent="0.3">
      <c r="B179" s="140" t="s">
        <v>166</v>
      </c>
      <c r="C179" s="141"/>
      <c r="D179" s="127"/>
      <c r="E179" s="132"/>
      <c r="F179" s="132"/>
      <c r="G179" s="197"/>
      <c r="H179" s="198">
        <v>3007</v>
      </c>
      <c r="I179" s="127">
        <v>-1723</v>
      </c>
      <c r="J179" s="132">
        <f>-10-I179</f>
        <v>1713</v>
      </c>
      <c r="K179" s="132">
        <f>1524-J179-I179</f>
        <v>1534</v>
      </c>
      <c r="L179" s="132">
        <f t="shared" si="224"/>
        <v>18236</v>
      </c>
      <c r="M179" s="198">
        <v>19760</v>
      </c>
      <c r="N179" s="369">
        <v>4567</v>
      </c>
      <c r="O179" s="370">
        <f>13446-N179</f>
        <v>8879</v>
      </c>
      <c r="P179" s="371">
        <f>15255-O179-N179</f>
        <v>1809</v>
      </c>
    </row>
    <row r="180" spans="2:16" s="51" customFormat="1" hidden="1" outlineLevel="1" x14ac:dyDescent="0.3">
      <c r="B180" s="140" t="s">
        <v>167</v>
      </c>
      <c r="C180" s="141"/>
      <c r="D180" s="127"/>
      <c r="E180" s="132"/>
      <c r="F180" s="132"/>
      <c r="G180" s="197"/>
      <c r="H180" s="198">
        <v>23295</v>
      </c>
      <c r="I180" s="127">
        <v>4871</v>
      </c>
      <c r="J180" s="132">
        <f>7388-I180</f>
        <v>2517</v>
      </c>
      <c r="K180" s="132">
        <f>8801-J180-I180</f>
        <v>1413</v>
      </c>
      <c r="L180" s="132">
        <f t="shared" si="224"/>
        <v>2310</v>
      </c>
      <c r="M180" s="198">
        <v>11111</v>
      </c>
      <c r="N180" s="369">
        <v>-1360</v>
      </c>
      <c r="O180" s="370">
        <f>-431-N180</f>
        <v>929</v>
      </c>
      <c r="P180" s="371">
        <f>2376-O180-N180</f>
        <v>2807</v>
      </c>
    </row>
    <row r="181" spans="2:16" s="51" customFormat="1" hidden="1" outlineLevel="1" x14ac:dyDescent="0.3">
      <c r="B181" s="342" t="s">
        <v>108</v>
      </c>
      <c r="C181" s="343"/>
      <c r="D181" s="165"/>
      <c r="E181" s="166"/>
      <c r="F181" s="166"/>
      <c r="G181" s="167"/>
      <c r="H181" s="168">
        <f>SUM(H158:H180)</f>
        <v>-109394</v>
      </c>
      <c r="I181" s="165">
        <f>SUM(I158:I180)</f>
        <v>-10950</v>
      </c>
      <c r="J181" s="166">
        <f>SUM(J158:J180)</f>
        <v>451</v>
      </c>
      <c r="K181" s="166">
        <f t="shared" ref="K181:L181" si="225">SUM(K158:K180)</f>
        <v>13389</v>
      </c>
      <c r="L181" s="166">
        <f t="shared" si="225"/>
        <v>24694</v>
      </c>
      <c r="M181" s="168">
        <f>SUM(M158:M180)</f>
        <v>27584</v>
      </c>
      <c r="N181" s="373">
        <f>SUM(N158:N180)</f>
        <v>-15511</v>
      </c>
      <c r="O181" s="374">
        <f>SUM(O158:O180)</f>
        <v>-20260</v>
      </c>
      <c r="P181" s="375">
        <f>SUM(P158:P180)</f>
        <v>78006</v>
      </c>
    </row>
    <row r="182" spans="2:16" s="51" customFormat="1" ht="4.5" hidden="1" customHeight="1" outlineLevel="1" x14ac:dyDescent="0.3">
      <c r="B182" s="344"/>
      <c r="C182" s="345"/>
      <c r="D182" s="127"/>
      <c r="E182" s="132"/>
      <c r="F182" s="132"/>
      <c r="G182" s="197"/>
      <c r="H182" s="198"/>
      <c r="I182" s="127"/>
      <c r="J182" s="132"/>
      <c r="K182" s="132"/>
      <c r="L182" s="132"/>
      <c r="M182" s="198">
        <f t="shared" si="223"/>
        <v>0</v>
      </c>
      <c r="N182" s="369"/>
      <c r="O182" s="370"/>
      <c r="P182" s="372"/>
    </row>
    <row r="183" spans="2:16" s="51" customFormat="1" hidden="1" outlineLevel="1" x14ac:dyDescent="0.3">
      <c r="B183" s="340" t="s">
        <v>109</v>
      </c>
      <c r="C183" s="341"/>
      <c r="D183" s="127"/>
      <c r="E183" s="132"/>
      <c r="F183" s="132"/>
      <c r="G183" s="197"/>
      <c r="H183" s="198"/>
      <c r="I183" s="127"/>
      <c r="J183" s="132"/>
      <c r="K183" s="132"/>
      <c r="L183" s="132"/>
      <c r="M183" s="198">
        <f t="shared" si="223"/>
        <v>0</v>
      </c>
      <c r="N183" s="369"/>
      <c r="O183" s="370"/>
      <c r="P183" s="372"/>
    </row>
    <row r="184" spans="2:16" s="51" customFormat="1" hidden="1" outlineLevel="1" x14ac:dyDescent="0.3">
      <c r="B184" s="346" t="s">
        <v>126</v>
      </c>
      <c r="C184" s="347"/>
      <c r="D184" s="127"/>
      <c r="E184" s="132"/>
      <c r="F184" s="132"/>
      <c r="G184" s="197"/>
      <c r="H184" s="198">
        <f>SUM(D184:G184)</f>
        <v>0</v>
      </c>
      <c r="I184" s="127">
        <v>0</v>
      </c>
      <c r="J184" s="132">
        <v>0</v>
      </c>
      <c r="K184" s="132">
        <v>0</v>
      </c>
      <c r="L184" s="132">
        <v>0</v>
      </c>
      <c r="M184" s="198">
        <f t="shared" si="223"/>
        <v>0</v>
      </c>
      <c r="N184" s="369">
        <v>-73086</v>
      </c>
      <c r="O184" s="370">
        <f>-102245-N184</f>
        <v>-29159</v>
      </c>
      <c r="P184" s="371">
        <f>-139103-O184-N184</f>
        <v>-36858</v>
      </c>
    </row>
    <row r="185" spans="2:16" s="51" customFormat="1" hidden="1" outlineLevel="1" x14ac:dyDescent="0.3">
      <c r="B185" s="346" t="s">
        <v>127</v>
      </c>
      <c r="C185" s="347"/>
      <c r="D185" s="127"/>
      <c r="E185" s="132"/>
      <c r="F185" s="132"/>
      <c r="G185" s="197"/>
      <c r="H185" s="198">
        <f>SUM(D185:G185)</f>
        <v>0</v>
      </c>
      <c r="I185" s="127">
        <v>0</v>
      </c>
      <c r="J185" s="132">
        <v>0</v>
      </c>
      <c r="K185" s="132">
        <v>0</v>
      </c>
      <c r="L185" s="132">
        <v>0</v>
      </c>
      <c r="M185" s="198">
        <f t="shared" si="223"/>
        <v>0</v>
      </c>
      <c r="N185" s="369">
        <v>0</v>
      </c>
      <c r="O185" s="370">
        <f>16768-N185</f>
        <v>16768</v>
      </c>
      <c r="P185" s="371">
        <f>26268-O185</f>
        <v>9500</v>
      </c>
    </row>
    <row r="186" spans="2:16" s="51" customFormat="1" hidden="1" outlineLevel="1" x14ac:dyDescent="0.3">
      <c r="B186" s="140" t="s">
        <v>129</v>
      </c>
      <c r="C186" s="137"/>
      <c r="D186" s="127"/>
      <c r="E186" s="132"/>
      <c r="F186" s="132"/>
      <c r="G186" s="197"/>
      <c r="H186" s="198">
        <f t="shared" ref="H186" si="226">SUM(D186:G186)</f>
        <v>0</v>
      </c>
      <c r="I186" s="127">
        <v>0</v>
      </c>
      <c r="J186" s="132">
        <v>0</v>
      </c>
      <c r="K186" s="132">
        <v>0</v>
      </c>
      <c r="L186" s="132">
        <v>0</v>
      </c>
      <c r="M186" s="198">
        <f t="shared" si="223"/>
        <v>0</v>
      </c>
      <c r="N186" s="369">
        <v>0</v>
      </c>
      <c r="O186" s="370">
        <f>4964-N186</f>
        <v>4964</v>
      </c>
      <c r="P186" s="371">
        <f>20962-O186</f>
        <v>15998</v>
      </c>
    </row>
    <row r="187" spans="2:16" s="51" customFormat="1" hidden="1" outlineLevel="1" x14ac:dyDescent="0.3">
      <c r="B187" s="136" t="s">
        <v>168</v>
      </c>
      <c r="C187" s="137"/>
      <c r="D187" s="127"/>
      <c r="E187" s="132"/>
      <c r="F187" s="132"/>
      <c r="G187" s="197"/>
      <c r="H187" s="198">
        <v>-28794</v>
      </c>
      <c r="I187" s="127">
        <v>-10419</v>
      </c>
      <c r="J187" s="132">
        <f>-20760-I187</f>
        <v>-10341</v>
      </c>
      <c r="K187" s="132">
        <f>-30484-J187-I187</f>
        <v>-9724</v>
      </c>
      <c r="L187" s="132">
        <f>M187-K187-J187-I187</f>
        <v>-6948</v>
      </c>
      <c r="M187" s="198">
        <v>-37432</v>
      </c>
      <c r="N187" s="369">
        <v>-7527</v>
      </c>
      <c r="O187" s="370">
        <f>-15840-N187</f>
        <v>-8313</v>
      </c>
      <c r="P187" s="371">
        <f>-19674-O187-N187</f>
        <v>-3834</v>
      </c>
    </row>
    <row r="188" spans="2:16" s="51" customFormat="1" hidden="1" outlineLevel="1" x14ac:dyDescent="0.3">
      <c r="B188" s="140" t="s">
        <v>199</v>
      </c>
      <c r="C188" s="141"/>
      <c r="D188" s="127"/>
      <c r="E188" s="132"/>
      <c r="F188" s="132"/>
      <c r="G188" s="197"/>
      <c r="H188" s="198">
        <v>-400</v>
      </c>
      <c r="I188" s="127">
        <v>-100</v>
      </c>
      <c r="J188" s="132">
        <f>-110-I188</f>
        <v>-10</v>
      </c>
      <c r="K188" s="132">
        <v>0</v>
      </c>
      <c r="L188" s="132">
        <f>M188-K188-J188-I188</f>
        <v>-1176</v>
      </c>
      <c r="M188" s="198">
        <v>-1286</v>
      </c>
      <c r="N188" s="369">
        <v>-400</v>
      </c>
      <c r="O188" s="370">
        <f>-400-N188</f>
        <v>0</v>
      </c>
      <c r="P188" s="197">
        <v>0</v>
      </c>
    </row>
    <row r="189" spans="2:16" s="51" customFormat="1" hidden="1" outlineLevel="1" x14ac:dyDescent="0.3">
      <c r="B189" s="136" t="s">
        <v>128</v>
      </c>
      <c r="C189" s="137"/>
      <c r="D189" s="127"/>
      <c r="E189" s="132"/>
      <c r="F189" s="132"/>
      <c r="G189" s="197"/>
      <c r="H189" s="198">
        <v>-7075</v>
      </c>
      <c r="I189" s="127">
        <v>0</v>
      </c>
      <c r="J189" s="132">
        <v>0</v>
      </c>
      <c r="K189" s="132">
        <v>-252</v>
      </c>
      <c r="L189" s="132">
        <f>M189-K189</f>
        <v>-1626</v>
      </c>
      <c r="M189" s="198">
        <v>-1878</v>
      </c>
      <c r="N189" s="369">
        <v>-313</v>
      </c>
      <c r="O189" s="370">
        <f>-8453-N189</f>
        <v>-8140</v>
      </c>
      <c r="P189" s="371">
        <f>-8473-O189-N189</f>
        <v>-20</v>
      </c>
    </row>
    <row r="190" spans="2:16" s="51" customFormat="1" hidden="1" outlineLevel="1" x14ac:dyDescent="0.3">
      <c r="B190" s="136" t="s">
        <v>201</v>
      </c>
      <c r="C190" s="137"/>
      <c r="D190" s="127"/>
      <c r="E190" s="132"/>
      <c r="F190" s="132"/>
      <c r="G190" s="197"/>
      <c r="H190" s="198">
        <v>11715</v>
      </c>
      <c r="I190" s="127">
        <v>-3750</v>
      </c>
      <c r="J190" s="132">
        <v>0</v>
      </c>
      <c r="K190" s="132">
        <f>-4500-J190-I190</f>
        <v>-750</v>
      </c>
      <c r="L190" s="132">
        <f>M190-K190-I190</f>
        <v>0</v>
      </c>
      <c r="M190" s="198">
        <v>-4500</v>
      </c>
      <c r="N190" s="369">
        <v>0</v>
      </c>
      <c r="O190" s="370">
        <v>0</v>
      </c>
      <c r="P190" s="197">
        <v>0</v>
      </c>
    </row>
    <row r="191" spans="2:16" s="51" customFormat="1" hidden="1" outlineLevel="1" x14ac:dyDescent="0.3">
      <c r="B191" s="342" t="s">
        <v>110</v>
      </c>
      <c r="C191" s="343"/>
      <c r="D191" s="165"/>
      <c r="E191" s="166"/>
      <c r="F191" s="166"/>
      <c r="G191" s="167"/>
      <c r="H191" s="168">
        <f t="shared" ref="H191:P191" si="227">SUM(H184:H190)</f>
        <v>-24554</v>
      </c>
      <c r="I191" s="165">
        <f t="shared" si="227"/>
        <v>-14269</v>
      </c>
      <c r="J191" s="166">
        <f t="shared" si="227"/>
        <v>-10351</v>
      </c>
      <c r="K191" s="166">
        <f t="shared" si="227"/>
        <v>-10726</v>
      </c>
      <c r="L191" s="166">
        <f t="shared" si="227"/>
        <v>-9750</v>
      </c>
      <c r="M191" s="168">
        <f t="shared" si="227"/>
        <v>-45096</v>
      </c>
      <c r="N191" s="373">
        <f t="shared" si="227"/>
        <v>-81326</v>
      </c>
      <c r="O191" s="374">
        <f t="shared" si="227"/>
        <v>-23880</v>
      </c>
      <c r="P191" s="375">
        <f t="shared" si="227"/>
        <v>-15214</v>
      </c>
    </row>
    <row r="192" spans="2:16" s="51" customFormat="1" ht="4.5" hidden="1" customHeight="1" outlineLevel="1" x14ac:dyDescent="0.3">
      <c r="B192" s="344"/>
      <c r="C192" s="345"/>
      <c r="D192" s="127"/>
      <c r="E192" s="132"/>
      <c r="F192" s="132"/>
      <c r="G192" s="197"/>
      <c r="H192" s="198"/>
      <c r="I192" s="127"/>
      <c r="J192" s="132"/>
      <c r="K192" s="132"/>
      <c r="L192" s="132"/>
      <c r="M192" s="198"/>
      <c r="N192" s="369"/>
      <c r="O192" s="370"/>
      <c r="P192" s="372"/>
    </row>
    <row r="193" spans="2:24" s="51" customFormat="1" hidden="1" outlineLevel="1" x14ac:dyDescent="0.3">
      <c r="B193" s="340" t="s">
        <v>111</v>
      </c>
      <c r="C193" s="341"/>
      <c r="D193" s="127"/>
      <c r="E193" s="132"/>
      <c r="F193" s="132"/>
      <c r="G193" s="197"/>
      <c r="H193" s="198"/>
      <c r="I193" s="127"/>
      <c r="J193" s="132"/>
      <c r="K193" s="132"/>
      <c r="L193" s="132"/>
      <c r="M193" s="198"/>
      <c r="N193" s="369"/>
      <c r="O193" s="370"/>
      <c r="P193" s="372"/>
    </row>
    <row r="194" spans="2:24" s="51" customFormat="1" hidden="1" outlineLevel="1" x14ac:dyDescent="0.3">
      <c r="B194" s="110" t="s">
        <v>169</v>
      </c>
      <c r="C194" s="111"/>
      <c r="D194" s="127"/>
      <c r="E194" s="132"/>
      <c r="F194" s="132"/>
      <c r="G194" s="197"/>
      <c r="H194" s="198">
        <v>0</v>
      </c>
      <c r="I194" s="127">
        <v>0</v>
      </c>
      <c r="J194" s="132">
        <v>0</v>
      </c>
      <c r="K194" s="132">
        <v>0</v>
      </c>
      <c r="L194" s="132">
        <v>0</v>
      </c>
      <c r="M194" s="198">
        <v>0</v>
      </c>
      <c r="N194" s="369">
        <v>-5406</v>
      </c>
      <c r="O194" s="370">
        <f>-5530-N194</f>
        <v>-124</v>
      </c>
      <c r="P194" s="371">
        <f>-5530-O194-N194</f>
        <v>0</v>
      </c>
    </row>
    <row r="195" spans="2:24" s="51" customFormat="1" hidden="1" outlineLevel="1" x14ac:dyDescent="0.3">
      <c r="B195" s="140" t="s">
        <v>200</v>
      </c>
      <c r="C195" s="141"/>
      <c r="D195" s="127"/>
      <c r="E195" s="132"/>
      <c r="F195" s="132"/>
      <c r="G195" s="197"/>
      <c r="H195" s="198">
        <v>0</v>
      </c>
      <c r="I195" s="127">
        <v>1749</v>
      </c>
      <c r="J195" s="132">
        <f>8633-I195</f>
        <v>6884</v>
      </c>
      <c r="K195" s="132">
        <v>0</v>
      </c>
      <c r="L195" s="132">
        <v>0</v>
      </c>
      <c r="M195" s="198">
        <v>0</v>
      </c>
      <c r="N195" s="369">
        <v>556</v>
      </c>
      <c r="O195" s="370">
        <f>15496-N195</f>
        <v>14940</v>
      </c>
      <c r="P195" s="371">
        <f>48304-O195-N195</f>
        <v>32808</v>
      </c>
    </row>
    <row r="196" spans="2:24" s="51" customFormat="1" hidden="1" outlineLevel="1" x14ac:dyDescent="0.3">
      <c r="B196" s="342" t="s">
        <v>112</v>
      </c>
      <c r="C196" s="343"/>
      <c r="D196" s="165"/>
      <c r="E196" s="166"/>
      <c r="F196" s="166"/>
      <c r="G196" s="167"/>
      <c r="H196" s="168">
        <v>194152</v>
      </c>
      <c r="I196" s="165">
        <f>SUM(I194:I195)</f>
        <v>1749</v>
      </c>
      <c r="J196" s="166">
        <f>SUM(J194:J195)</f>
        <v>6884</v>
      </c>
      <c r="K196" s="166">
        <f>-17791-J196-I196</f>
        <v>-26424</v>
      </c>
      <c r="L196" s="166">
        <f>M196-K196-J196-I196</f>
        <v>282554</v>
      </c>
      <c r="M196" s="168">
        <v>264763</v>
      </c>
      <c r="N196" s="373">
        <f>SUM(N194:N195)</f>
        <v>-4850</v>
      </c>
      <c r="O196" s="374">
        <f>SUM(O194:O195)</f>
        <v>14816</v>
      </c>
      <c r="P196" s="375">
        <f>SUM(P194:P195)</f>
        <v>32808</v>
      </c>
    </row>
    <row r="197" spans="2:24" s="51" customFormat="1" hidden="1" outlineLevel="1" x14ac:dyDescent="0.3">
      <c r="B197" s="342" t="s">
        <v>113</v>
      </c>
      <c r="C197" s="343"/>
      <c r="D197" s="165"/>
      <c r="E197" s="204"/>
      <c r="F197" s="204"/>
      <c r="G197" s="211"/>
      <c r="H197" s="200">
        <f t="shared" ref="H197:N197" si="228">H196+H191+H181</f>
        <v>60204</v>
      </c>
      <c r="I197" s="212">
        <f t="shared" si="228"/>
        <v>-23470</v>
      </c>
      <c r="J197" s="204">
        <f t="shared" si="228"/>
        <v>-3016</v>
      </c>
      <c r="K197" s="166">
        <f t="shared" si="228"/>
        <v>-23761</v>
      </c>
      <c r="L197" s="204">
        <f t="shared" si="228"/>
        <v>297498</v>
      </c>
      <c r="M197" s="200">
        <f t="shared" si="228"/>
        <v>247251</v>
      </c>
      <c r="N197" s="212">
        <f t="shared" si="228"/>
        <v>-101687</v>
      </c>
      <c r="O197" s="204">
        <f>O196+O191+O181</f>
        <v>-29324</v>
      </c>
      <c r="P197" s="211">
        <f>P196+P191+P181</f>
        <v>95600</v>
      </c>
    </row>
    <row r="198" spans="2:24" s="52" customFormat="1" hidden="1" outlineLevel="1" x14ac:dyDescent="0.3">
      <c r="B198" s="110" t="s">
        <v>114</v>
      </c>
      <c r="C198" s="111"/>
      <c r="D198" s="155"/>
      <c r="E198" s="213"/>
      <c r="F198" s="213"/>
      <c r="G198" s="214"/>
      <c r="H198" s="215">
        <v>-1080</v>
      </c>
      <c r="I198" s="216">
        <v>-860</v>
      </c>
      <c r="J198" s="213">
        <f>-874-I198</f>
        <v>-14</v>
      </c>
      <c r="K198" s="156">
        <f>-970-J198-I198</f>
        <v>-96</v>
      </c>
      <c r="L198" s="213">
        <f>M198-K198-J198-I198</f>
        <v>-806</v>
      </c>
      <c r="M198" s="215">
        <v>-1776</v>
      </c>
      <c r="N198" s="369">
        <v>1558</v>
      </c>
      <c r="O198" s="376">
        <f>2672-N198</f>
        <v>1114</v>
      </c>
      <c r="P198" s="377">
        <f>2536-O198-N198</f>
        <v>-136</v>
      </c>
    </row>
    <row r="199" spans="2:24" s="52" customFormat="1" hidden="1" outlineLevel="1" x14ac:dyDescent="0.3">
      <c r="B199" s="140" t="s">
        <v>170</v>
      </c>
      <c r="C199" s="141"/>
      <c r="D199" s="155"/>
      <c r="E199" s="213"/>
      <c r="F199" s="213"/>
      <c r="G199" s="214"/>
      <c r="H199" s="216">
        <f t="shared" ref="H199:P199" si="229">H197+H198</f>
        <v>59124</v>
      </c>
      <c r="I199" s="216">
        <f t="shared" si="229"/>
        <v>-24330</v>
      </c>
      <c r="J199" s="213">
        <f t="shared" si="229"/>
        <v>-3030</v>
      </c>
      <c r="K199" s="213">
        <f t="shared" si="229"/>
        <v>-23857</v>
      </c>
      <c r="L199" s="213">
        <f t="shared" si="229"/>
        <v>296692</v>
      </c>
      <c r="M199" s="215">
        <f t="shared" si="229"/>
        <v>245475</v>
      </c>
      <c r="N199" s="369">
        <f t="shared" si="229"/>
        <v>-100129</v>
      </c>
      <c r="O199" s="370">
        <f t="shared" si="229"/>
        <v>-28210</v>
      </c>
      <c r="P199" s="371">
        <f t="shared" si="229"/>
        <v>95464</v>
      </c>
    </row>
    <row r="200" spans="2:24" s="51" customFormat="1" hidden="1" outlineLevel="1" x14ac:dyDescent="0.3">
      <c r="B200" s="342" t="s">
        <v>115</v>
      </c>
      <c r="C200" s="343"/>
      <c r="D200" s="165"/>
      <c r="E200" s="204"/>
      <c r="F200" s="204"/>
      <c r="G200" s="211"/>
      <c r="H200" s="168">
        <v>166176</v>
      </c>
      <c r="I200" s="212">
        <v>225300</v>
      </c>
      <c r="J200" s="204">
        <f>I201</f>
        <v>200970</v>
      </c>
      <c r="K200" s="166">
        <f t="shared" ref="K200:L200" si="230">J201</f>
        <v>197940</v>
      </c>
      <c r="L200" s="204">
        <f t="shared" si="230"/>
        <v>174083</v>
      </c>
      <c r="M200" s="200">
        <v>225300</v>
      </c>
      <c r="N200" s="373">
        <v>470775</v>
      </c>
      <c r="O200" s="374">
        <f>N201</f>
        <v>370646</v>
      </c>
      <c r="P200" s="375">
        <f>O201</f>
        <v>342436</v>
      </c>
    </row>
    <row r="201" spans="2:24" s="51" customFormat="1" hidden="1" outlineLevel="1" x14ac:dyDescent="0.3">
      <c r="B201" s="342" t="s">
        <v>116</v>
      </c>
      <c r="C201" s="343"/>
      <c r="D201" s="165"/>
      <c r="E201" s="204"/>
      <c r="F201" s="204"/>
      <c r="G201" s="167"/>
      <c r="H201" s="165">
        <f t="shared" ref="H201:P201" si="231">H200+H197+H198</f>
        <v>225300</v>
      </c>
      <c r="I201" s="165">
        <f t="shared" si="231"/>
        <v>200970</v>
      </c>
      <c r="J201" s="166">
        <f t="shared" si="231"/>
        <v>197940</v>
      </c>
      <c r="K201" s="166">
        <f t="shared" si="231"/>
        <v>174083</v>
      </c>
      <c r="L201" s="166">
        <f t="shared" si="231"/>
        <v>470775</v>
      </c>
      <c r="M201" s="200">
        <f t="shared" ref="M201" si="232">M200+M197+M198</f>
        <v>470775</v>
      </c>
      <c r="N201" s="378">
        <v>370646</v>
      </c>
      <c r="O201" s="166">
        <f t="shared" si="231"/>
        <v>342436</v>
      </c>
      <c r="P201" s="167">
        <f t="shared" si="231"/>
        <v>437900</v>
      </c>
    </row>
    <row r="202" spans="2:24" s="51" customFormat="1" hidden="1" outlineLevel="1" x14ac:dyDescent="0.3">
      <c r="B202" s="364" t="s">
        <v>117</v>
      </c>
      <c r="C202" s="365"/>
      <c r="D202" s="217"/>
      <c r="E202" s="218"/>
      <c r="F202" s="218"/>
      <c r="G202" s="219"/>
      <c r="H202" s="280"/>
      <c r="I202" s="256"/>
      <c r="J202" s="256">
        <f t="shared" ref="J202:N202" si="233">(J117+J118+J128-J140-J141)/J46</f>
        <v>0.80115642566648582</v>
      </c>
      <c r="K202" s="256">
        <f t="shared" si="233"/>
        <v>0.81294392584715169</v>
      </c>
      <c r="L202" s="257">
        <f t="shared" si="233"/>
        <v>1.7832298719238706</v>
      </c>
      <c r="M202" s="256">
        <f t="shared" si="233"/>
        <v>2.3500074934425772</v>
      </c>
      <c r="N202" s="379">
        <f t="shared" si="233"/>
        <v>1.1878252103680988</v>
      </c>
      <c r="O202" s="256">
        <f>(O117+O118+O128-O140-O141)/O46</f>
        <v>1.1141356341632584</v>
      </c>
      <c r="P202" s="257">
        <f>(P117+P118+P128-P140-P141)/P46</f>
        <v>1.3783647820688412</v>
      </c>
      <c r="Q202" s="67"/>
      <c r="R202" s="67"/>
      <c r="S202" s="67"/>
      <c r="T202" s="67"/>
    </row>
    <row r="203" spans="2:24" s="51" customFormat="1" ht="15" customHeight="1" collapsed="1" x14ac:dyDescent="0.3">
      <c r="B203" s="20"/>
      <c r="C203" s="115"/>
      <c r="D203" s="146"/>
      <c r="E203" s="146"/>
      <c r="F203" s="146"/>
      <c r="G203" s="146"/>
      <c r="H203" s="146">
        <f t="shared" ref="H203:P203" si="234">H201-H117</f>
        <v>0</v>
      </c>
      <c r="I203" s="146"/>
      <c r="J203" s="146">
        <f t="shared" si="234"/>
        <v>0</v>
      </c>
      <c r="K203" s="146">
        <f t="shared" si="234"/>
        <v>0</v>
      </c>
      <c r="L203" s="146">
        <f t="shared" si="234"/>
        <v>0</v>
      </c>
      <c r="M203" s="146">
        <f t="shared" si="234"/>
        <v>0</v>
      </c>
      <c r="N203" s="146">
        <f t="shared" si="234"/>
        <v>0</v>
      </c>
      <c r="O203" s="146">
        <f t="shared" si="234"/>
        <v>0</v>
      </c>
      <c r="P203" s="146">
        <f t="shared" si="234"/>
        <v>0</v>
      </c>
      <c r="Q203" s="37"/>
      <c r="R203" s="37"/>
      <c r="S203" s="37"/>
      <c r="T203" s="37"/>
      <c r="U203" s="37"/>
      <c r="V203" s="37"/>
      <c r="W203" s="37"/>
      <c r="X203" s="84"/>
    </row>
    <row r="204" spans="2:24" ht="15.6" x14ac:dyDescent="0.3">
      <c r="B204" s="318" t="s">
        <v>0</v>
      </c>
      <c r="C204" s="319"/>
      <c r="D204" s="192"/>
      <c r="E204" s="192"/>
      <c r="F204" s="192"/>
      <c r="G204" s="192"/>
      <c r="H204" s="128"/>
      <c r="I204" s="192"/>
      <c r="J204" s="192"/>
      <c r="K204" s="192"/>
      <c r="L204" s="192"/>
      <c r="M204" s="192"/>
      <c r="N204" s="192"/>
      <c r="O204" s="192"/>
      <c r="P204" s="10"/>
      <c r="Q204" s="10"/>
      <c r="R204" s="10"/>
      <c r="S204" s="10"/>
      <c r="T204" s="10"/>
      <c r="U204" s="10"/>
      <c r="V204" s="10"/>
      <c r="W204" s="10"/>
    </row>
    <row r="205" spans="2:24" s="51" customFormat="1" x14ac:dyDescent="0.3">
      <c r="B205" s="22" t="s">
        <v>222</v>
      </c>
      <c r="C205" s="312">
        <f>Q103+S103+T103+U103</f>
        <v>0.21148112796081522</v>
      </c>
      <c r="D205" s="220"/>
      <c r="E205" s="221"/>
      <c r="F205" s="221"/>
      <c r="G205" s="221"/>
      <c r="H205" s="132"/>
      <c r="I205" s="222"/>
      <c r="J205" s="223"/>
      <c r="K205" s="224"/>
      <c r="L205" s="224"/>
      <c r="M205" s="223"/>
      <c r="N205" s="222"/>
      <c r="O205" s="223"/>
      <c r="P205" s="4"/>
      <c r="Q205" s="4"/>
      <c r="R205" s="6"/>
      <c r="S205" s="5"/>
      <c r="T205" s="6"/>
      <c r="U205" s="4"/>
      <c r="V205" s="4"/>
      <c r="W205" s="6"/>
    </row>
    <row r="206" spans="2:24" x14ac:dyDescent="0.3">
      <c r="B206" s="22" t="s">
        <v>217</v>
      </c>
      <c r="C206" s="95">
        <v>49</v>
      </c>
      <c r="D206" s="220"/>
      <c r="E206" s="221"/>
      <c r="F206" s="221"/>
      <c r="G206" s="221"/>
      <c r="H206" s="132"/>
      <c r="I206" s="222"/>
      <c r="J206" s="223"/>
      <c r="K206" s="224"/>
      <c r="L206" s="224"/>
      <c r="M206" s="223"/>
      <c r="N206" s="222"/>
      <c r="O206" s="223"/>
      <c r="P206" s="4"/>
      <c r="Q206" s="4"/>
      <c r="R206" s="6"/>
      <c r="S206" s="5"/>
      <c r="T206" s="6"/>
      <c r="U206" s="4"/>
      <c r="V206" s="4"/>
      <c r="W206" s="6"/>
    </row>
    <row r="207" spans="2:24" x14ac:dyDescent="0.3">
      <c r="B207" s="22" t="s">
        <v>219</v>
      </c>
      <c r="C207" s="96">
        <v>52</v>
      </c>
      <c r="D207" s="132"/>
      <c r="E207" s="128"/>
      <c r="F207" s="128"/>
      <c r="G207" s="128"/>
      <c r="H207" s="132"/>
      <c r="I207" s="128"/>
      <c r="J207" s="128"/>
      <c r="K207" s="225"/>
      <c r="L207" s="225"/>
      <c r="M207" s="225"/>
      <c r="N207" s="128"/>
      <c r="O207" s="128"/>
      <c r="P207" s="19"/>
      <c r="Q207" s="19"/>
      <c r="R207" s="19"/>
      <c r="S207" s="18"/>
      <c r="T207" s="18"/>
      <c r="U207" s="19"/>
      <c r="V207" s="19"/>
      <c r="W207" s="19"/>
    </row>
    <row r="208" spans="2:24" x14ac:dyDescent="0.3">
      <c r="B208" s="22" t="s">
        <v>218</v>
      </c>
      <c r="C208" s="96">
        <v>45</v>
      </c>
      <c r="D208" s="132"/>
      <c r="E208" s="128"/>
      <c r="F208" s="128"/>
      <c r="G208" s="128"/>
      <c r="H208" s="132"/>
      <c r="I208" s="128"/>
      <c r="J208" s="128"/>
      <c r="K208" s="225"/>
      <c r="L208" s="225"/>
      <c r="M208" s="225"/>
      <c r="N208" s="128"/>
      <c r="O208" s="128"/>
      <c r="P208" s="19"/>
      <c r="Q208" s="19"/>
      <c r="R208" s="19"/>
      <c r="S208" s="18"/>
      <c r="T208" s="18"/>
      <c r="U208" s="19"/>
      <c r="V208" s="19"/>
      <c r="W208" s="19"/>
    </row>
    <row r="209" spans="2:23" x14ac:dyDescent="0.3">
      <c r="B209" s="22" t="s">
        <v>221</v>
      </c>
      <c r="C209" s="97">
        <v>49.05</v>
      </c>
      <c r="D209" s="132"/>
      <c r="E209" s="128"/>
      <c r="F209" s="128"/>
      <c r="G209" s="128"/>
      <c r="H209" s="132"/>
      <c r="I209" s="128"/>
      <c r="J209" s="128"/>
      <c r="K209" s="225"/>
      <c r="L209" s="225"/>
      <c r="M209" s="225"/>
      <c r="N209" s="128"/>
      <c r="O209" s="128"/>
      <c r="P209" s="19"/>
      <c r="Q209" s="19"/>
      <c r="R209" s="19"/>
      <c r="S209" s="18"/>
      <c r="T209" s="18"/>
      <c r="U209" s="19"/>
      <c r="V209" s="19"/>
      <c r="W209" s="19"/>
    </row>
    <row r="210" spans="2:23" s="51" customFormat="1" x14ac:dyDescent="0.3">
      <c r="B210" s="22" t="s">
        <v>26</v>
      </c>
      <c r="C210" s="312">
        <f>P202</f>
        <v>1.3783647820688412</v>
      </c>
      <c r="D210" s="220"/>
      <c r="E210" s="221"/>
      <c r="F210" s="221"/>
      <c r="G210" s="221"/>
      <c r="H210" s="132"/>
      <c r="I210" s="222"/>
      <c r="J210" s="223"/>
      <c r="K210" s="224"/>
      <c r="L210" s="224"/>
      <c r="M210" s="223"/>
      <c r="N210" s="222"/>
      <c r="O210" s="223"/>
      <c r="P210" s="4"/>
      <c r="Q210" s="4"/>
      <c r="R210" s="6"/>
      <c r="S210" s="5"/>
      <c r="T210" s="6"/>
      <c r="U210" s="4"/>
      <c r="V210" s="4"/>
      <c r="W210" s="6"/>
    </row>
    <row r="211" spans="2:23" x14ac:dyDescent="0.3">
      <c r="B211" s="11" t="s">
        <v>27</v>
      </c>
      <c r="C211" s="315">
        <f>C205*C209+C210</f>
        <v>11.751514108546827</v>
      </c>
      <c r="D211" s="166"/>
      <c r="E211" s="128"/>
      <c r="F211" s="128"/>
      <c r="G211" s="128"/>
      <c r="H211" s="132"/>
      <c r="I211" s="128"/>
      <c r="J211" s="128"/>
      <c r="K211" s="225"/>
      <c r="L211" s="225"/>
      <c r="M211" s="225"/>
      <c r="N211" s="128"/>
      <c r="O211" s="128"/>
      <c r="P211" s="19"/>
      <c r="Q211" s="19"/>
      <c r="R211" s="19"/>
      <c r="S211" s="18"/>
      <c r="T211" s="18"/>
      <c r="U211" s="19"/>
      <c r="V211" s="19"/>
      <c r="W211" s="19"/>
    </row>
    <row r="212" spans="2:23" s="25" customFormat="1" ht="126.75" customHeight="1" x14ac:dyDescent="0.3">
      <c r="B212" s="328" t="s">
        <v>229</v>
      </c>
      <c r="C212" s="329"/>
      <c r="D212" s="166"/>
      <c r="E212" s="128"/>
      <c r="F212" s="128"/>
      <c r="G212" s="128"/>
      <c r="H212" s="128"/>
      <c r="I212" s="128"/>
      <c r="J212" s="128"/>
      <c r="K212" s="225"/>
      <c r="L212" s="225"/>
      <c r="M212" s="225"/>
      <c r="N212" s="128"/>
      <c r="O212" s="128"/>
      <c r="P212" s="19"/>
      <c r="Q212" s="19"/>
      <c r="R212" s="19"/>
      <c r="S212" s="18"/>
      <c r="T212" s="18"/>
      <c r="U212" s="19"/>
      <c r="V212" s="19"/>
      <c r="W212" s="19"/>
    </row>
    <row r="213" spans="2:23" s="25" customFormat="1" ht="65.25" customHeight="1" x14ac:dyDescent="0.3">
      <c r="B213" s="326" t="s">
        <v>223</v>
      </c>
      <c r="C213" s="327"/>
      <c r="D213" s="166"/>
      <c r="E213" s="128"/>
      <c r="F213" s="128"/>
      <c r="G213" s="128"/>
      <c r="H213" s="128"/>
      <c r="I213" s="128"/>
      <c r="J213" s="128"/>
      <c r="K213" s="225"/>
      <c r="L213" s="225"/>
      <c r="M213" s="225"/>
      <c r="N213" s="128"/>
      <c r="O213" s="128"/>
      <c r="P213" s="19"/>
      <c r="Q213" s="19"/>
      <c r="R213" s="19"/>
      <c r="S213" s="18"/>
      <c r="T213" s="18"/>
      <c r="U213" s="19"/>
      <c r="V213" s="19"/>
      <c r="W213" s="19"/>
    </row>
    <row r="214" spans="2:23" x14ac:dyDescent="0.3">
      <c r="B214" s="8"/>
      <c r="C214" s="1"/>
      <c r="D214" s="151"/>
    </row>
    <row r="215" spans="2:23" ht="15.6" x14ac:dyDescent="0.3">
      <c r="B215" s="318" t="s">
        <v>82</v>
      </c>
      <c r="C215" s="319"/>
      <c r="D215" s="151"/>
    </row>
    <row r="216" spans="2:23" x14ac:dyDescent="0.3">
      <c r="B216" s="101" t="s">
        <v>78</v>
      </c>
      <c r="C216" s="106">
        <v>2.0500000000000001E-2</v>
      </c>
    </row>
    <row r="217" spans="2:23" s="51" customFormat="1" x14ac:dyDescent="0.3">
      <c r="B217" s="3" t="s">
        <v>79</v>
      </c>
      <c r="C217" s="283">
        <v>0.22470000000000001</v>
      </c>
      <c r="D217" s="149"/>
      <c r="E217" s="149"/>
      <c r="F217" s="149"/>
      <c r="G217" s="149"/>
      <c r="H217" s="149"/>
      <c r="I217" s="149"/>
      <c r="J217" s="149"/>
      <c r="K217" s="150"/>
      <c r="L217" s="150"/>
      <c r="M217" s="150"/>
      <c r="N217" s="149"/>
      <c r="O217" s="149"/>
      <c r="P217" s="2"/>
      <c r="Q217" s="2"/>
      <c r="R217" s="2"/>
      <c r="S217" s="1"/>
      <c r="T217" s="1"/>
      <c r="U217" s="2"/>
      <c r="V217" s="2"/>
      <c r="W217" s="2"/>
    </row>
    <row r="218" spans="2:23" s="51" customFormat="1" x14ac:dyDescent="0.3">
      <c r="B218" s="3" t="s">
        <v>83</v>
      </c>
      <c r="C218" s="102">
        <f>C211</f>
        <v>11.751514108546827</v>
      </c>
      <c r="D218" s="149"/>
      <c r="E218" s="149"/>
      <c r="F218" s="149"/>
      <c r="G218" s="149"/>
      <c r="H218" s="149"/>
      <c r="I218" s="149"/>
      <c r="J218" s="149"/>
      <c r="K218" s="150"/>
      <c r="L218" s="150"/>
      <c r="M218" s="150"/>
      <c r="N218" s="149"/>
      <c r="O218" s="149"/>
      <c r="P218" s="2"/>
      <c r="Q218" s="2"/>
      <c r="R218" s="2"/>
      <c r="S218" s="1"/>
      <c r="T218" s="1"/>
      <c r="U218" s="2"/>
      <c r="V218" s="2"/>
      <c r="W218" s="2"/>
    </row>
    <row r="219" spans="2:23" x14ac:dyDescent="0.3">
      <c r="B219" s="22" t="s">
        <v>80</v>
      </c>
      <c r="C219" s="102">
        <f>C218*(1+(C217+2*C216))</f>
        <v>14.873891407187719</v>
      </c>
      <c r="H219" s="226"/>
    </row>
    <row r="220" spans="2:23" x14ac:dyDescent="0.3">
      <c r="B220" s="103" t="s">
        <v>81</v>
      </c>
      <c r="C220" s="282">
        <f>C218*(1-(C217+2*C216))</f>
        <v>8.6291368099059351</v>
      </c>
      <c r="H220" s="226"/>
    </row>
    <row r="221" spans="2:23" s="51" customFormat="1" ht="15" customHeight="1" x14ac:dyDescent="0.3">
      <c r="B221" s="320" t="s">
        <v>230</v>
      </c>
      <c r="C221" s="321"/>
      <c r="D221" s="149"/>
      <c r="E221" s="149"/>
      <c r="F221" s="149"/>
      <c r="G221" s="149"/>
      <c r="H221" s="149"/>
      <c r="I221" s="149"/>
      <c r="J221" s="149"/>
      <c r="K221" s="150"/>
      <c r="L221" s="150"/>
      <c r="M221" s="150"/>
      <c r="N221" s="149"/>
      <c r="O221" s="149"/>
      <c r="P221" s="2"/>
      <c r="Q221" s="2"/>
      <c r="R221" s="2"/>
      <c r="S221" s="1"/>
      <c r="T221" s="1"/>
      <c r="U221" s="2"/>
      <c r="V221" s="2"/>
      <c r="W221" s="2"/>
    </row>
    <row r="222" spans="2:23" x14ac:dyDescent="0.3">
      <c r="B222" s="320"/>
      <c r="C222" s="321"/>
    </row>
    <row r="223" spans="2:23" x14ac:dyDescent="0.3">
      <c r="B223" s="320"/>
      <c r="C223" s="321"/>
    </row>
    <row r="224" spans="2:23" x14ac:dyDescent="0.3">
      <c r="B224" s="320"/>
      <c r="C224" s="321"/>
    </row>
    <row r="225" spans="2:3" x14ac:dyDescent="0.3">
      <c r="B225" s="320"/>
      <c r="C225" s="321"/>
    </row>
    <row r="226" spans="2:3" x14ac:dyDescent="0.3">
      <c r="B226" s="320"/>
      <c r="C226" s="321"/>
    </row>
    <row r="227" spans="2:3" x14ac:dyDescent="0.3">
      <c r="B227" s="320"/>
      <c r="C227" s="321"/>
    </row>
    <row r="228" spans="2:3" x14ac:dyDescent="0.3">
      <c r="B228" s="320"/>
      <c r="C228" s="321"/>
    </row>
    <row r="229" spans="2:3" x14ac:dyDescent="0.3">
      <c r="B229" s="320"/>
      <c r="C229" s="321"/>
    </row>
    <row r="230" spans="2:3" x14ac:dyDescent="0.3">
      <c r="B230" s="320"/>
      <c r="C230" s="321"/>
    </row>
    <row r="231" spans="2:3" x14ac:dyDescent="0.3">
      <c r="B231" s="320"/>
      <c r="C231" s="321"/>
    </row>
    <row r="232" spans="2:3" x14ac:dyDescent="0.3">
      <c r="B232" s="320"/>
      <c r="C232" s="321"/>
    </row>
    <row r="233" spans="2:3" x14ac:dyDescent="0.3">
      <c r="B233" s="320"/>
      <c r="C233" s="321"/>
    </row>
    <row r="234" spans="2:3" x14ac:dyDescent="0.3">
      <c r="B234" s="320"/>
      <c r="C234" s="321"/>
    </row>
    <row r="235" spans="2:3" x14ac:dyDescent="0.3">
      <c r="B235" s="320"/>
      <c r="C235" s="321"/>
    </row>
    <row r="236" spans="2:3" x14ac:dyDescent="0.3">
      <c r="B236" s="322"/>
      <c r="C236" s="323"/>
    </row>
    <row r="238" spans="2:3" x14ac:dyDescent="0.3">
      <c r="B238" s="107" t="s">
        <v>86</v>
      </c>
    </row>
  </sheetData>
  <dataConsolidate/>
  <mergeCells count="101">
    <mergeCell ref="B147:C147"/>
    <mergeCell ref="B150:C150"/>
    <mergeCell ref="B151:C151"/>
    <mergeCell ref="B136:C136"/>
    <mergeCell ref="B138:C138"/>
    <mergeCell ref="B139:C139"/>
    <mergeCell ref="B141:C141"/>
    <mergeCell ref="B142:C142"/>
    <mergeCell ref="B202:C202"/>
    <mergeCell ref="B196:C196"/>
    <mergeCell ref="B197:C197"/>
    <mergeCell ref="B200:C200"/>
    <mergeCell ref="B201:C201"/>
    <mergeCell ref="B192:C192"/>
    <mergeCell ref="B193:C193"/>
    <mergeCell ref="B183:C183"/>
    <mergeCell ref="B184:C184"/>
    <mergeCell ref="B185:C185"/>
    <mergeCell ref="B191:C191"/>
    <mergeCell ref="B44:C44"/>
    <mergeCell ref="B48:C48"/>
    <mergeCell ref="B154:C154"/>
    <mergeCell ref="B155:C155"/>
    <mergeCell ref="B156:C156"/>
    <mergeCell ref="B157:C157"/>
    <mergeCell ref="B182:C182"/>
    <mergeCell ref="B168:C168"/>
    <mergeCell ref="B169:C169"/>
    <mergeCell ref="B170:C170"/>
    <mergeCell ref="B171:C171"/>
    <mergeCell ref="B181:C181"/>
    <mergeCell ref="B158:C158"/>
    <mergeCell ref="B159:C159"/>
    <mergeCell ref="B166:C166"/>
    <mergeCell ref="B167:C167"/>
    <mergeCell ref="B133:C133"/>
    <mergeCell ref="B134:C134"/>
    <mergeCell ref="B118:C118"/>
    <mergeCell ref="B120:C120"/>
    <mergeCell ref="B123:C123"/>
    <mergeCell ref="B124:C124"/>
    <mergeCell ref="B125:C125"/>
    <mergeCell ref="B121:C121"/>
    <mergeCell ref="B2:C2"/>
    <mergeCell ref="B3:C3"/>
    <mergeCell ref="B4:C4"/>
    <mergeCell ref="B5:C5"/>
    <mergeCell ref="B9:C9"/>
    <mergeCell ref="B41:C41"/>
    <mergeCell ref="B10:C10"/>
    <mergeCell ref="B39:C39"/>
    <mergeCell ref="B11:C11"/>
    <mergeCell ref="B21:C21"/>
    <mergeCell ref="B22:C22"/>
    <mergeCell ref="B32:C32"/>
    <mergeCell ref="B37:C37"/>
    <mergeCell ref="B36:C36"/>
    <mergeCell ref="B24:C24"/>
    <mergeCell ref="B25:C25"/>
    <mergeCell ref="B34:C34"/>
    <mergeCell ref="B38:C38"/>
    <mergeCell ref="B45:C45"/>
    <mergeCell ref="B106:C106"/>
    <mergeCell ref="B107:C107"/>
    <mergeCell ref="B108:C108"/>
    <mergeCell ref="B109:C109"/>
    <mergeCell ref="B110:C110"/>
    <mergeCell ref="B80:C80"/>
    <mergeCell ref="B76:C76"/>
    <mergeCell ref="B75:C75"/>
    <mergeCell ref="B64:C64"/>
    <mergeCell ref="B52:C52"/>
    <mergeCell ref="B78:C78"/>
    <mergeCell ref="B69:C69"/>
    <mergeCell ref="B77:C77"/>
    <mergeCell ref="B56:C56"/>
    <mergeCell ref="B53:C53"/>
    <mergeCell ref="B215:C215"/>
    <mergeCell ref="B221:C236"/>
    <mergeCell ref="B46:C46"/>
    <mergeCell ref="B213:C213"/>
    <mergeCell ref="B204:C204"/>
    <mergeCell ref="B212:C212"/>
    <mergeCell ref="B47:C47"/>
    <mergeCell ref="B59:C59"/>
    <mergeCell ref="B60:C60"/>
    <mergeCell ref="B51:C51"/>
    <mergeCell ref="B91:C91"/>
    <mergeCell ref="B115:C115"/>
    <mergeCell ref="B113:C113"/>
    <mergeCell ref="B114:C114"/>
    <mergeCell ref="B116:C116"/>
    <mergeCell ref="B105:C105"/>
    <mergeCell ref="B117:C117"/>
    <mergeCell ref="B130:C130"/>
    <mergeCell ref="B131:C131"/>
    <mergeCell ref="B132:C132"/>
    <mergeCell ref="B135:C135"/>
    <mergeCell ref="B152:C152"/>
    <mergeCell ref="B143:C143"/>
    <mergeCell ref="B145:C145"/>
  </mergeCells>
  <pageMargins left="0.7" right="0.7" top="0.75" bottom="0.75" header="0.3" footer="0.3"/>
  <pageSetup scale="40" orientation="landscape" r:id="rId1"/>
  <headerFooter>
    <oddFooter xml:space="preserve">&amp;CGutenberg Research LLC prohibits the redistribution of this document in whole or part without the written permission. 
© Gutenberg Research LLC 2016. </oddFooter>
  </headerFooter>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2016-03-31T01:20:23Z</cp:lastPrinted>
  <dcterms:created xsi:type="dcterms:W3CDTF">2014-10-18T18:34:10Z</dcterms:created>
  <dcterms:modified xsi:type="dcterms:W3CDTF">2016-11-10T02:09:16Z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