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C:\Users\Admin\Documents\Gutenberg\2-INTERN PROGRAM\3Q2019 Earnings Season\Intern Models\"/>
    </mc:Choice>
  </mc:AlternateContent>
  <xr:revisionPtr revIDLastSave="0" documentId="8_{B0C03A9E-F734-4946-BD8A-C6B5552B84AA}" xr6:coauthVersionLast="45" xr6:coauthVersionMax="45" xr10:uidLastSave="{00000000-0000-0000-0000-000000000000}"/>
  <bookViews>
    <workbookView xWindow="18135" yWindow="1935" windowWidth="25530" windowHeight="19785" tabRatio="767" firstSheet="1" activeTab="1" xr2:uid="{00000000-000D-0000-FFFF-FFFF00000000}"/>
  </bookViews>
  <sheets>
    <sheet name="Instructions" sheetId="31" state="hidden" r:id="rId1"/>
    <sheet name="Earnings Model" sheetId="3" r:id="rId2"/>
    <sheet name="Returns-PE" sheetId="32" r:id="rId3"/>
    <sheet name="Charts" sheetId="21" r:id="rId4"/>
  </sheets>
  <definedNames>
    <definedName name="_xlnm._FilterDatabase" localSheetId="2" hidden="1">'Returns-PE'!$A$2:$B$15</definedName>
    <definedName name="DATA" localSheetId="3">#REF!</definedName>
    <definedName name="DATA" localSheetId="0">#REF!</definedName>
    <definedName name="DATA">#REF!</definedName>
    <definedName name="_xlnm.Print_Area" localSheetId="1">'Earnings Model'!$B$2:$W$108</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20" i="3" l="1"/>
  <c r="C119" i="3"/>
  <c r="I4" i="32"/>
  <c r="J4" i="32"/>
  <c r="U101" i="3"/>
  <c r="V101" i="3" s="1"/>
  <c r="T101" i="3"/>
  <c r="S62" i="3"/>
  <c r="V65" i="3"/>
  <c r="U65" i="3"/>
  <c r="T65" i="3"/>
  <c r="S65" i="3"/>
  <c r="Q65" i="3"/>
  <c r="Q77" i="3"/>
  <c r="Q50" i="3"/>
  <c r="Q61" i="3"/>
  <c r="V83" i="3"/>
  <c r="T83" i="3"/>
  <c r="S83" i="3"/>
  <c r="S81" i="3"/>
  <c r="T81" i="3" s="1"/>
  <c r="V47" i="3"/>
  <c r="U47" i="3"/>
  <c r="S52" i="3"/>
  <c r="T47" i="3"/>
  <c r="V104" i="3"/>
  <c r="V103" i="3"/>
  <c r="U104" i="3"/>
  <c r="U103" i="3"/>
  <c r="T104" i="3"/>
  <c r="T103" i="3"/>
  <c r="S104" i="3"/>
  <c r="S103" i="3"/>
  <c r="Q22" i="3"/>
  <c r="S55" i="3" l="1"/>
  <c r="T52" i="3"/>
  <c r="T55" i="3" l="1"/>
  <c r="U55" i="3" s="1"/>
  <c r="V55" i="3" s="1"/>
  <c r="U52" i="3"/>
  <c r="V52" i="3" s="1"/>
  <c r="Q104" i="3" l="1"/>
  <c r="Q103" i="3"/>
  <c r="P103" i="3"/>
  <c r="P104" i="3"/>
  <c r="Q89" i="3"/>
  <c r="S89" i="3" s="1"/>
  <c r="T89" i="3" s="1"/>
  <c r="U89" i="3" s="1"/>
  <c r="V89" i="3" s="1"/>
  <c r="P83" i="3"/>
  <c r="P81" i="3"/>
  <c r="P78" i="3"/>
  <c r="P76" i="3"/>
  <c r="Q76" i="3" s="1"/>
  <c r="P69" i="3"/>
  <c r="P65" i="3"/>
  <c r="P50" i="3"/>
  <c r="P47" i="3"/>
  <c r="P45" i="3"/>
  <c r="S45" i="3" s="1"/>
  <c r="T45" i="3" s="1"/>
  <c r="U45" i="3" s="1"/>
  <c r="V45" i="3" s="1"/>
  <c r="Q78" i="3" l="1"/>
  <c r="C5" i="32" l="1"/>
  <c r="C6" i="32"/>
  <c r="C7" i="32"/>
  <c r="C8" i="32"/>
  <c r="C9" i="32"/>
  <c r="C10" i="32"/>
  <c r="C11" i="32"/>
  <c r="C12" i="32"/>
  <c r="C13" i="32"/>
  <c r="C14" i="32"/>
  <c r="C15" i="32"/>
  <c r="C4" i="32"/>
  <c r="S24" i="3"/>
  <c r="S22" i="3"/>
  <c r="T22" i="3" s="1"/>
  <c r="Q23" i="3"/>
  <c r="R23" i="3" s="1"/>
  <c r="S80" i="3"/>
  <c r="S82" i="3" s="1"/>
  <c r="T46" i="3"/>
  <c r="Q80" i="3"/>
  <c r="D15" i="3"/>
  <c r="D16" i="3"/>
  <c r="D20" i="3"/>
  <c r="E15" i="3"/>
  <c r="E20" i="3"/>
  <c r="E21" i="3"/>
  <c r="F15" i="3"/>
  <c r="F20" i="3"/>
  <c r="G13" i="3"/>
  <c r="H13" i="3"/>
  <c r="G14" i="3"/>
  <c r="H14" i="3"/>
  <c r="G17" i="3"/>
  <c r="G18" i="3"/>
  <c r="G100" i="3"/>
  <c r="G19" i="3"/>
  <c r="H19" i="3"/>
  <c r="G22" i="3"/>
  <c r="G23" i="3"/>
  <c r="H23" i="3"/>
  <c r="G24" i="3"/>
  <c r="H24" i="3"/>
  <c r="G26" i="3"/>
  <c r="H26" i="3"/>
  <c r="H22" i="3"/>
  <c r="I15" i="3"/>
  <c r="I95" i="3"/>
  <c r="I20" i="3"/>
  <c r="J15" i="3"/>
  <c r="J16" i="3"/>
  <c r="J96" i="3" s="1"/>
  <c r="J20" i="3"/>
  <c r="K15" i="3"/>
  <c r="K16" i="3"/>
  <c r="K96" i="3" s="1"/>
  <c r="K20" i="3"/>
  <c r="L13" i="3"/>
  <c r="M13" i="3"/>
  <c r="L14" i="3"/>
  <c r="L86" i="3"/>
  <c r="M14" i="3"/>
  <c r="L17" i="3"/>
  <c r="L18" i="3"/>
  <c r="M18" i="3"/>
  <c r="M100" i="3"/>
  <c r="L19" i="3"/>
  <c r="M19" i="3"/>
  <c r="L22" i="3"/>
  <c r="M22" i="3"/>
  <c r="L23" i="3"/>
  <c r="M23" i="3"/>
  <c r="L24" i="3"/>
  <c r="M24" i="3"/>
  <c r="L26" i="3"/>
  <c r="M26" i="3"/>
  <c r="N15" i="3"/>
  <c r="N95" i="3"/>
  <c r="N20" i="3"/>
  <c r="N21" i="3"/>
  <c r="O15" i="3"/>
  <c r="O16" i="3"/>
  <c r="O96" i="3" s="1"/>
  <c r="O20" i="3"/>
  <c r="P58" i="3"/>
  <c r="O69" i="3"/>
  <c r="Q69" i="3" s="1"/>
  <c r="S69" i="3" s="1"/>
  <c r="T69" i="3" s="1"/>
  <c r="U69" i="3" s="1"/>
  <c r="V69" i="3" s="1"/>
  <c r="O83" i="3"/>
  <c r="Q83" i="3"/>
  <c r="K99" i="3"/>
  <c r="N99" i="3"/>
  <c r="O99" i="3"/>
  <c r="Q46" i="3"/>
  <c r="R46" i="3" s="1"/>
  <c r="O50" i="3"/>
  <c r="R19" i="3"/>
  <c r="R22" i="3"/>
  <c r="W19" i="3"/>
  <c r="Q34" i="3"/>
  <c r="N103" i="3"/>
  <c r="O103" i="3"/>
  <c r="Q30" i="3"/>
  <c r="P52" i="3"/>
  <c r="L56" i="3"/>
  <c r="L57" i="3" s="1"/>
  <c r="K56" i="3"/>
  <c r="K57" i="3" s="1"/>
  <c r="J56" i="3"/>
  <c r="J57" i="3" s="1"/>
  <c r="I56" i="3"/>
  <c r="I57" i="3" s="1"/>
  <c r="N56" i="3"/>
  <c r="N57" i="3" s="1"/>
  <c r="O56" i="3"/>
  <c r="O57" i="3" s="1"/>
  <c r="I50" i="3"/>
  <c r="J50" i="3"/>
  <c r="K50" i="3"/>
  <c r="L50" i="3"/>
  <c r="N50" i="3"/>
  <c r="O45" i="3"/>
  <c r="N45" i="3"/>
  <c r="L45" i="3"/>
  <c r="K45" i="3"/>
  <c r="J45" i="3"/>
  <c r="I45" i="3"/>
  <c r="D56" i="3"/>
  <c r="E56" i="3"/>
  <c r="F51" i="3"/>
  <c r="H51" i="3"/>
  <c r="G56" i="3"/>
  <c r="H46" i="3"/>
  <c r="M51" i="3"/>
  <c r="M46" i="3"/>
  <c r="I53" i="3"/>
  <c r="I52" i="3"/>
  <c r="D58" i="3"/>
  <c r="D66" i="3" s="1"/>
  <c r="O58" i="3"/>
  <c r="O61" i="3" s="1"/>
  <c r="N104" i="3"/>
  <c r="O104" i="3"/>
  <c r="O100" i="3"/>
  <c r="N100" i="3"/>
  <c r="N83" i="3"/>
  <c r="O81" i="3"/>
  <c r="N81" i="3"/>
  <c r="O78" i="3"/>
  <c r="N78" i="3"/>
  <c r="S78" i="3" s="1"/>
  <c r="O76" i="3"/>
  <c r="N76" i="3"/>
  <c r="N69" i="3"/>
  <c r="O65" i="3"/>
  <c r="N65" i="3"/>
  <c r="N58" i="3"/>
  <c r="N61" i="3" s="1"/>
  <c r="N62" i="3" s="1"/>
  <c r="L58" i="3"/>
  <c r="L62" i="3" s="1"/>
  <c r="O47" i="3"/>
  <c r="N47" i="3"/>
  <c r="O52" i="3"/>
  <c r="N52" i="3"/>
  <c r="J103" i="3"/>
  <c r="K103" i="3"/>
  <c r="I103" i="3"/>
  <c r="L103" i="3"/>
  <c r="I99" i="3"/>
  <c r="J99" i="3"/>
  <c r="K100" i="3"/>
  <c r="I100" i="3"/>
  <c r="J100" i="3"/>
  <c r="Q33" i="3"/>
  <c r="L65" i="3"/>
  <c r="L69" i="3"/>
  <c r="L83" i="3"/>
  <c r="I104" i="3"/>
  <c r="J104" i="3"/>
  <c r="L104" i="3"/>
  <c r="K104" i="3"/>
  <c r="F16" i="3"/>
  <c r="F96" i="3" s="1"/>
  <c r="J44" i="3"/>
  <c r="M48" i="3"/>
  <c r="M55" i="3"/>
  <c r="H48" i="3"/>
  <c r="H53" i="3"/>
  <c r="L52" i="3"/>
  <c r="K52" i="3"/>
  <c r="J52" i="3"/>
  <c r="L47" i="3"/>
  <c r="K47" i="3"/>
  <c r="J47" i="3"/>
  <c r="I47" i="3"/>
  <c r="E85" i="3"/>
  <c r="F85" i="3"/>
  <c r="I85" i="3"/>
  <c r="J85" i="3"/>
  <c r="K85" i="3"/>
  <c r="E86" i="3"/>
  <c r="F86" i="3"/>
  <c r="I86" i="3"/>
  <c r="J86" i="3"/>
  <c r="K86" i="3"/>
  <c r="D86" i="3"/>
  <c r="D85" i="3"/>
  <c r="E99" i="3"/>
  <c r="F99" i="3"/>
  <c r="E100" i="3"/>
  <c r="F100" i="3"/>
  <c r="D100" i="3"/>
  <c r="D99" i="3"/>
  <c r="K83" i="3"/>
  <c r="J83" i="3"/>
  <c r="I83" i="3"/>
  <c r="G83" i="3"/>
  <c r="F83" i="3"/>
  <c r="E83" i="3"/>
  <c r="D83" i="3"/>
  <c r="L81" i="3"/>
  <c r="K81" i="3"/>
  <c r="J81" i="3"/>
  <c r="I81" i="3"/>
  <c r="L76" i="3"/>
  <c r="J76" i="3"/>
  <c r="K76" i="3"/>
  <c r="I76" i="3"/>
  <c r="E78" i="3"/>
  <c r="F78" i="3"/>
  <c r="G78" i="3"/>
  <c r="I78" i="3"/>
  <c r="J78" i="3"/>
  <c r="K78" i="3"/>
  <c r="L78" i="3"/>
  <c r="D78" i="3"/>
  <c r="J72" i="3"/>
  <c r="K72" i="3"/>
  <c r="L72" i="3"/>
  <c r="I72" i="3"/>
  <c r="E69" i="3"/>
  <c r="F69" i="3"/>
  <c r="G69" i="3"/>
  <c r="I69" i="3"/>
  <c r="J69" i="3"/>
  <c r="K69" i="3"/>
  <c r="D69" i="3"/>
  <c r="E65" i="3"/>
  <c r="F65" i="3"/>
  <c r="G65" i="3"/>
  <c r="I65" i="3"/>
  <c r="J65" i="3"/>
  <c r="K65" i="3"/>
  <c r="D65" i="3"/>
  <c r="E58" i="3"/>
  <c r="E66" i="3" s="1"/>
  <c r="F58" i="3"/>
  <c r="F62" i="3" s="1"/>
  <c r="G58" i="3"/>
  <c r="G62" i="3" s="1"/>
  <c r="J58" i="3"/>
  <c r="J66" i="3" s="1"/>
  <c r="K58" i="3"/>
  <c r="K66" i="3" s="1"/>
  <c r="R55" i="3"/>
  <c r="L28" i="3"/>
  <c r="M28" i="3"/>
  <c r="L85" i="3"/>
  <c r="G28" i="3"/>
  <c r="H28" i="3"/>
  <c r="G85" i="3"/>
  <c r="G86" i="3"/>
  <c r="D95" i="3"/>
  <c r="F95" i="3"/>
  <c r="K95" i="3"/>
  <c r="F104" i="3"/>
  <c r="F103" i="3"/>
  <c r="G104" i="3"/>
  <c r="G103" i="3"/>
  <c r="E103" i="3"/>
  <c r="E104" i="3"/>
  <c r="N86" i="3"/>
  <c r="N85" i="3"/>
  <c r="O85" i="3"/>
  <c r="O86" i="3"/>
  <c r="O95" i="3"/>
  <c r="N16" i="3"/>
  <c r="N96" i="3" s="1"/>
  <c r="H18" i="3"/>
  <c r="H100" i="3"/>
  <c r="I16" i="3"/>
  <c r="I96" i="3" s="1"/>
  <c r="G99" i="3"/>
  <c r="E16" i="3"/>
  <c r="E96" i="3"/>
  <c r="E95" i="3"/>
  <c r="I21" i="3"/>
  <c r="I97" i="3"/>
  <c r="I58" i="3"/>
  <c r="I62" i="3" s="1"/>
  <c r="K21" i="3"/>
  <c r="K97" i="3"/>
  <c r="H17" i="3"/>
  <c r="H20" i="3"/>
  <c r="M53" i="3"/>
  <c r="O21" i="3"/>
  <c r="O97" i="3"/>
  <c r="O25" i="3"/>
  <c r="R30" i="3"/>
  <c r="M15" i="3"/>
  <c r="M95" i="3"/>
  <c r="F56" i="3"/>
  <c r="L15" i="3"/>
  <c r="L16" i="3"/>
  <c r="L96" i="3" s="1"/>
  <c r="H15" i="3"/>
  <c r="D21" i="3"/>
  <c r="D97" i="3"/>
  <c r="L99" i="3"/>
  <c r="P56" i="3"/>
  <c r="P57" i="3" s="1"/>
  <c r="R24" i="3"/>
  <c r="D96" i="3"/>
  <c r="I25" i="3"/>
  <c r="D25" i="3"/>
  <c r="D27" i="3"/>
  <c r="D29" i="3"/>
  <c r="L95" i="3"/>
  <c r="D101" i="3"/>
  <c r="D35" i="3"/>
  <c r="D36" i="3"/>
  <c r="D32" i="3"/>
  <c r="D37" i="3" s="1"/>
  <c r="Q51" i="3"/>
  <c r="R51" i="3" s="1"/>
  <c r="N25" i="3"/>
  <c r="N97" i="3"/>
  <c r="E97" i="3"/>
  <c r="E25" i="3"/>
  <c r="F21" i="3"/>
  <c r="O27" i="3"/>
  <c r="O29" i="3"/>
  <c r="O101" i="3"/>
  <c r="I101" i="3"/>
  <c r="I27" i="3"/>
  <c r="I29" i="3"/>
  <c r="H99" i="3"/>
  <c r="E17" i="32"/>
  <c r="E16" i="32"/>
  <c r="L20" i="3"/>
  <c r="L21" i="3"/>
  <c r="M17" i="3"/>
  <c r="G20" i="3"/>
  <c r="K25" i="3"/>
  <c r="H95" i="3"/>
  <c r="H21" i="3"/>
  <c r="S30" i="3"/>
  <c r="T30" i="3" s="1"/>
  <c r="J95" i="3"/>
  <c r="J21" i="3"/>
  <c r="G15" i="3"/>
  <c r="L100" i="3"/>
  <c r="I36" i="3"/>
  <c r="I32" i="3"/>
  <c r="I35" i="3"/>
  <c r="O31" i="3"/>
  <c r="O32" i="3"/>
  <c r="O37" i="3" s="1"/>
  <c r="M99" i="3"/>
  <c r="M20" i="3"/>
  <c r="H97" i="3"/>
  <c r="H25" i="3"/>
  <c r="L25" i="3"/>
  <c r="L97" i="3"/>
  <c r="F97" i="3"/>
  <c r="F25" i="3"/>
  <c r="K101" i="3"/>
  <c r="K27" i="3"/>
  <c r="K29" i="3"/>
  <c r="E27" i="3"/>
  <c r="E29" i="3"/>
  <c r="E101" i="3"/>
  <c r="G21" i="3"/>
  <c r="G16" i="3"/>
  <c r="G96" i="3" s="1"/>
  <c r="G95" i="3"/>
  <c r="N27" i="3"/>
  <c r="N29" i="3"/>
  <c r="N101" i="3"/>
  <c r="J25" i="3"/>
  <c r="J97" i="3"/>
  <c r="N32" i="3"/>
  <c r="N37" i="3" s="1"/>
  <c r="N31" i="3"/>
  <c r="G25" i="3"/>
  <c r="G97" i="3"/>
  <c r="J101" i="3"/>
  <c r="J27" i="3"/>
  <c r="J29" i="3"/>
  <c r="M21" i="3"/>
  <c r="M98" i="3"/>
  <c r="I37" i="3"/>
  <c r="E36" i="3"/>
  <c r="E35" i="3"/>
  <c r="E32" i="3"/>
  <c r="K32" i="3"/>
  <c r="K37" i="3" s="1"/>
  <c r="K36" i="3"/>
  <c r="K35" i="3"/>
  <c r="F101" i="3"/>
  <c r="F27" i="3"/>
  <c r="F29" i="3"/>
  <c r="L27" i="3"/>
  <c r="L29" i="3"/>
  <c r="L101" i="3"/>
  <c r="O35" i="3"/>
  <c r="O36" i="3"/>
  <c r="H27" i="3"/>
  <c r="H29" i="3"/>
  <c r="H101" i="3"/>
  <c r="H35" i="3"/>
  <c r="H36" i="3"/>
  <c r="L36" i="3"/>
  <c r="L35" i="3"/>
  <c r="L32" i="3"/>
  <c r="L37" i="3" s="1"/>
  <c r="E37" i="3"/>
  <c r="G27" i="3"/>
  <c r="G29" i="3"/>
  <c r="G101" i="3"/>
  <c r="F35" i="3"/>
  <c r="F32" i="3"/>
  <c r="F37" i="3" s="1"/>
  <c r="F36" i="3"/>
  <c r="J35" i="3"/>
  <c r="J36" i="3"/>
  <c r="J32" i="3"/>
  <c r="N35" i="3"/>
  <c r="N36" i="3"/>
  <c r="M25" i="3"/>
  <c r="M97" i="3"/>
  <c r="M27" i="3"/>
  <c r="M29" i="3"/>
  <c r="M101" i="3"/>
  <c r="G36" i="3"/>
  <c r="G32" i="3"/>
  <c r="H32" i="3" s="1"/>
  <c r="H37" i="3" s="1"/>
  <c r="G35" i="3"/>
  <c r="J37" i="3"/>
  <c r="M32" i="3"/>
  <c r="M37" i="3" s="1"/>
  <c r="M35" i="3"/>
  <c r="M36" i="3"/>
  <c r="H16" i="3" l="1"/>
  <c r="H96" i="3" s="1"/>
  <c r="J62" i="3"/>
  <c r="H58" i="3"/>
  <c r="S50" i="3"/>
  <c r="T50" i="3" s="1"/>
  <c r="I66" i="3"/>
  <c r="H56" i="3"/>
  <c r="N59" i="3"/>
  <c r="J59" i="3"/>
  <c r="U22" i="3"/>
  <c r="V22" i="3" s="1"/>
  <c r="M56" i="3"/>
  <c r="I59" i="3"/>
  <c r="F66" i="3"/>
  <c r="K59" i="3"/>
  <c r="L59" i="3"/>
  <c r="L66" i="3"/>
  <c r="D62" i="3"/>
  <c r="O59" i="3"/>
  <c r="E62" i="3"/>
  <c r="M58" i="3"/>
  <c r="M16" i="3"/>
  <c r="M96" i="3" s="1"/>
  <c r="G37" i="3"/>
  <c r="U78" i="3"/>
  <c r="T78" i="3"/>
  <c r="V78" i="3" s="1"/>
  <c r="G66" i="3"/>
  <c r="N66" i="3"/>
  <c r="O66" i="3"/>
  <c r="O62" i="3"/>
  <c r="K62" i="3"/>
  <c r="P61" i="3"/>
  <c r="P66" i="3" s="1"/>
  <c r="Q66" i="3" s="1"/>
  <c r="S66" i="3" s="1"/>
  <c r="T66" i="3" s="1"/>
  <c r="U66" i="3" s="1"/>
  <c r="V66" i="3" s="1"/>
  <c r="S46" i="3"/>
  <c r="S48" i="3" s="1"/>
  <c r="T48" i="3"/>
  <c r="Q48" i="3"/>
  <c r="R48" i="3" s="1"/>
  <c r="S34" i="3"/>
  <c r="S33" i="3"/>
  <c r="U30" i="3"/>
  <c r="W30" i="3" s="1"/>
  <c r="V30" i="3"/>
  <c r="T24" i="3"/>
  <c r="U24" i="3" s="1"/>
  <c r="V24" i="3" s="1"/>
  <c r="S23" i="3"/>
  <c r="Q82" i="3"/>
  <c r="W55" i="3"/>
  <c r="R56" i="3"/>
  <c r="R57" i="3" s="1"/>
  <c r="Q56" i="3"/>
  <c r="Q57" i="3" s="1"/>
  <c r="Q53" i="3"/>
  <c r="R53" i="3" s="1"/>
  <c r="P59" i="3"/>
  <c r="S51" i="3" l="1"/>
  <c r="S53" i="3" s="1"/>
  <c r="S58" i="3" s="1"/>
  <c r="S59" i="3" s="1"/>
  <c r="U50" i="3"/>
  <c r="V50" i="3" s="1"/>
  <c r="V51" i="3" s="1"/>
  <c r="V53" i="3" s="1"/>
  <c r="S61" i="3"/>
  <c r="T61" i="3" s="1"/>
  <c r="U61" i="3" s="1"/>
  <c r="V61" i="3" s="1"/>
  <c r="W22" i="3"/>
  <c r="P62" i="3"/>
  <c r="T51" i="3"/>
  <c r="T53" i="3" s="1"/>
  <c r="T58" i="3" s="1"/>
  <c r="U81" i="3"/>
  <c r="T80" i="3"/>
  <c r="T82" i="3" s="1"/>
  <c r="Q58" i="3"/>
  <c r="U46" i="3"/>
  <c r="V46" i="3"/>
  <c r="V48" i="3" s="1"/>
  <c r="T33" i="3"/>
  <c r="T34" i="3"/>
  <c r="W24" i="3"/>
  <c r="T23" i="3"/>
  <c r="U23" i="3" s="1"/>
  <c r="V23" i="3" s="1"/>
  <c r="W23" i="3"/>
  <c r="U83" i="3"/>
  <c r="R58" i="3"/>
  <c r="Q62" i="3" l="1"/>
  <c r="T62" i="3"/>
  <c r="U62" i="3" s="1"/>
  <c r="V62" i="3" s="1"/>
  <c r="S56" i="3"/>
  <c r="S57" i="3" s="1"/>
  <c r="U51" i="3"/>
  <c r="U53" i="3" s="1"/>
  <c r="W53" i="3" s="1"/>
  <c r="Q67" i="3"/>
  <c r="Q68" i="3" s="1"/>
  <c r="U33" i="3"/>
  <c r="T56" i="3"/>
  <c r="T57" i="3" s="1"/>
  <c r="S67" i="3"/>
  <c r="S68" i="3" s="1"/>
  <c r="U80" i="3"/>
  <c r="U82" i="3" s="1"/>
  <c r="V81" i="3"/>
  <c r="V80" i="3" s="1"/>
  <c r="V82" i="3" s="1"/>
  <c r="Q59" i="3"/>
  <c r="V56" i="3"/>
  <c r="V57" i="3" s="1"/>
  <c r="V58" i="3"/>
  <c r="U48" i="3"/>
  <c r="W46" i="3"/>
  <c r="U34" i="3"/>
  <c r="V34" i="3" s="1"/>
  <c r="T67" i="3"/>
  <c r="T68" i="3" s="1"/>
  <c r="T59" i="3"/>
  <c r="V59" i="3" l="1"/>
  <c r="V67" i="3"/>
  <c r="V68" i="3" s="1"/>
  <c r="W51" i="3"/>
  <c r="W56" i="3" s="1"/>
  <c r="W57" i="3" s="1"/>
  <c r="U56" i="3"/>
  <c r="U57" i="3" s="1"/>
  <c r="W48" i="3"/>
  <c r="W58" i="3" s="1"/>
  <c r="U58" i="3"/>
  <c r="U67" i="3" s="1"/>
  <c r="V33" i="3"/>
  <c r="U59" i="3" l="1"/>
  <c r="U68" i="3"/>
  <c r="P13" i="3" l="1"/>
  <c r="P99" i="3" l="1"/>
  <c r="P100" i="3"/>
  <c r="Q100" i="3" s="1"/>
  <c r="S100" i="3" s="1"/>
  <c r="T100" i="3" s="1"/>
  <c r="U100" i="3" s="1"/>
  <c r="V100" i="3" s="1"/>
  <c r="Q63" i="3"/>
  <c r="P85" i="3"/>
  <c r="Q99" i="3" l="1"/>
  <c r="S99" i="3" s="1"/>
  <c r="S63" i="3"/>
  <c r="T99" i="3" l="1"/>
  <c r="T63" i="3"/>
  <c r="U99" i="3" l="1"/>
  <c r="V99" i="3" s="1"/>
  <c r="U63" i="3"/>
  <c r="V63" i="3"/>
  <c r="P14" i="3" l="1"/>
  <c r="P86" i="3" s="1"/>
  <c r="Q64" i="3"/>
  <c r="P15" i="3" l="1"/>
  <c r="S64" i="3" l="1"/>
  <c r="P16" i="3"/>
  <c r="P95" i="3"/>
  <c r="P96" i="3" l="1"/>
  <c r="T64" i="3"/>
  <c r="U64" i="3" l="1"/>
  <c r="V64" i="3"/>
  <c r="P20" i="3" l="1"/>
  <c r="P21" i="3" s="1"/>
  <c r="P97" i="3" l="1"/>
  <c r="P25" i="3"/>
  <c r="P101" i="3" s="1"/>
  <c r="Q101" i="3" s="1"/>
  <c r="S101" i="3" s="1"/>
  <c r="P27" i="3" l="1"/>
  <c r="P29" i="3" l="1"/>
  <c r="P32" i="3" s="1"/>
  <c r="P31" i="3" l="1"/>
  <c r="P36" i="3" l="1"/>
  <c r="P35" i="3"/>
  <c r="P37" i="3"/>
  <c r="Q75" i="3"/>
  <c r="Q14" i="3" s="1"/>
  <c r="S76" i="3"/>
  <c r="T76" i="3" s="1"/>
  <c r="Q13" i="3" l="1"/>
  <c r="Q17" i="3" s="1"/>
  <c r="R17" i="3" s="1"/>
  <c r="U76" i="3"/>
  <c r="T75" i="3"/>
  <c r="R14" i="3"/>
  <c r="Q86" i="3"/>
  <c r="S75" i="3"/>
  <c r="Q85" i="3" l="1"/>
  <c r="R13" i="3"/>
  <c r="Q15" i="3"/>
  <c r="Q16" i="3" s="1"/>
  <c r="Q18" i="3"/>
  <c r="R15" i="3"/>
  <c r="R95" i="3" s="1"/>
  <c r="S13" i="3"/>
  <c r="S77" i="3"/>
  <c r="S14" i="3" s="1"/>
  <c r="R99" i="3"/>
  <c r="T13" i="3"/>
  <c r="T77" i="3"/>
  <c r="T14" i="3" s="1"/>
  <c r="T86" i="3" s="1"/>
  <c r="V76" i="3"/>
  <c r="V75" i="3" s="1"/>
  <c r="U75" i="3"/>
  <c r="Q95" i="3" l="1"/>
  <c r="R18" i="3"/>
  <c r="Q20" i="3"/>
  <c r="Q21" i="3" s="1"/>
  <c r="Q97" i="3" s="1"/>
  <c r="U13" i="3"/>
  <c r="U77" i="3"/>
  <c r="U14" i="3" s="1"/>
  <c r="U86" i="3" s="1"/>
  <c r="R16" i="3"/>
  <c r="R96" i="3" s="1"/>
  <c r="Q96" i="3"/>
  <c r="S86" i="3"/>
  <c r="T85" i="3"/>
  <c r="T15" i="3"/>
  <c r="T17" i="3"/>
  <c r="T18" i="3"/>
  <c r="V77" i="3"/>
  <c r="V14" i="3" s="1"/>
  <c r="V86" i="3" s="1"/>
  <c r="V13" i="3"/>
  <c r="S18" i="3"/>
  <c r="S15" i="3"/>
  <c r="S85" i="3"/>
  <c r="S17" i="3"/>
  <c r="Q25" i="3" l="1"/>
  <c r="Q26" i="3" s="1"/>
  <c r="R26" i="3" s="1"/>
  <c r="R100" i="3"/>
  <c r="R20" i="3"/>
  <c r="W14" i="3"/>
  <c r="V85" i="3"/>
  <c r="V18" i="3"/>
  <c r="V15" i="3"/>
  <c r="V17" i="3"/>
  <c r="W13" i="3"/>
  <c r="S20" i="3"/>
  <c r="S21" i="3" s="1"/>
  <c r="T20" i="3"/>
  <c r="T21" i="3" s="1"/>
  <c r="T16" i="3"/>
  <c r="T96" i="3" s="1"/>
  <c r="T95" i="3"/>
  <c r="S95" i="3"/>
  <c r="S16" i="3"/>
  <c r="U15" i="3"/>
  <c r="U85" i="3"/>
  <c r="U18" i="3"/>
  <c r="U17" i="3"/>
  <c r="U20" i="3" l="1"/>
  <c r="U21" i="3" s="1"/>
  <c r="R98" i="3"/>
  <c r="R21" i="3"/>
  <c r="W15" i="3"/>
  <c r="W95" i="3" s="1"/>
  <c r="Q27" i="3"/>
  <c r="Q28" i="3" s="1"/>
  <c r="R28" i="3" s="1"/>
  <c r="W18" i="3"/>
  <c r="W100" i="3" s="1"/>
  <c r="S25" i="3"/>
  <c r="S97" i="3"/>
  <c r="S96" i="3"/>
  <c r="W17" i="3"/>
  <c r="T25" i="3"/>
  <c r="T97" i="3"/>
  <c r="V16" i="3"/>
  <c r="V96" i="3" s="1"/>
  <c r="V95" i="3"/>
  <c r="U16" i="3"/>
  <c r="U96" i="3" s="1"/>
  <c r="U95" i="3"/>
  <c r="V20" i="3"/>
  <c r="V21" i="3" s="1"/>
  <c r="R97" i="3" l="1"/>
  <c r="R25" i="3"/>
  <c r="Q29" i="3"/>
  <c r="W20" i="3"/>
  <c r="W99" i="3"/>
  <c r="V25" i="3"/>
  <c r="V97" i="3"/>
  <c r="U97" i="3"/>
  <c r="U25" i="3"/>
  <c r="W16" i="3"/>
  <c r="W96" i="3" s="1"/>
  <c r="S26" i="3"/>
  <c r="R101" i="3" l="1"/>
  <c r="R27" i="3"/>
  <c r="R29" i="3" s="1"/>
  <c r="R31" i="3" s="1"/>
  <c r="S27" i="3"/>
  <c r="W98" i="3"/>
  <c r="W21" i="3"/>
  <c r="Q31" i="3"/>
  <c r="Q32" i="3"/>
  <c r="R34" i="3" l="1"/>
  <c r="R36" i="3" s="1"/>
  <c r="R33" i="3"/>
  <c r="R35" i="3" s="1"/>
  <c r="S28" i="3"/>
  <c r="Q37" i="3"/>
  <c r="R32" i="3"/>
  <c r="W25" i="3"/>
  <c r="W97" i="3"/>
  <c r="Q35" i="3"/>
  <c r="Q36" i="3"/>
  <c r="R37" i="3" l="1"/>
  <c r="S29" i="3"/>
  <c r="S31" i="3" l="1"/>
  <c r="S32" i="3"/>
  <c r="S37" i="3" l="1"/>
  <c r="S35" i="3"/>
  <c r="S36" i="3"/>
  <c r="T26" i="3"/>
  <c r="V26" i="3"/>
  <c r="V27" i="3" s="1"/>
  <c r="V28" i="3" l="1"/>
  <c r="V29" i="3" s="1"/>
  <c r="T27" i="3"/>
  <c r="U26" i="3"/>
  <c r="U27" i="3" s="1"/>
  <c r="V31" i="3" l="1"/>
  <c r="V32" i="3"/>
  <c r="V37" i="3" s="1"/>
  <c r="T28" i="3"/>
  <c r="U28" i="3"/>
  <c r="U29" i="3" s="1"/>
  <c r="W26" i="3"/>
  <c r="U32" i="3" l="1"/>
  <c r="U37" i="3" s="1"/>
  <c r="U31" i="3"/>
  <c r="W27" i="3"/>
  <c r="W101" i="3"/>
  <c r="W28" i="3"/>
  <c r="T29" i="3"/>
  <c r="V36" i="3"/>
  <c r="V35" i="3"/>
  <c r="T32" i="3" l="1"/>
  <c r="T31" i="3"/>
  <c r="U36" i="3"/>
  <c r="U35" i="3"/>
  <c r="W29" i="3"/>
  <c r="W31" i="3" s="1"/>
  <c r="W33" i="3" l="1"/>
  <c r="W35" i="3" s="1"/>
  <c r="W34" i="3"/>
  <c r="W36" i="3" s="1"/>
  <c r="T36" i="3"/>
  <c r="T35" i="3"/>
  <c r="W32" i="3"/>
  <c r="T37" i="3"/>
  <c r="W37" i="3" l="1"/>
  <c r="I6" i="32" s="1"/>
  <c r="J6" i="32" s="1"/>
  <c r="C114" i="3" l="1"/>
  <c r="C8" i="3" s="1"/>
  <c r="C121" i="3" l="1"/>
  <c r="C122" i="3" s="1"/>
  <c r="C123" i="3" l="1"/>
  <c r="C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27" authorId="0" shapeId="0" xr:uid="{00000000-0006-0000-0100-000002000000}">
      <text>
        <r>
          <rPr>
            <b/>
            <sz val="9"/>
            <color indexed="81"/>
            <rFont val="Tahoma"/>
            <family val="2"/>
          </rPr>
          <t>4Q2018 Shareholder Letter:</t>
        </r>
        <r>
          <rPr>
            <sz val="9"/>
            <color indexed="81"/>
            <rFont val="Tahoma"/>
            <family val="2"/>
          </rPr>
          <t xml:space="preserve"> "The gap between production and deliveries in Q1 will create a temporary but predictable dip in our revenues and earnings. As a result, our optimistic target is to </t>
        </r>
        <r>
          <rPr>
            <b/>
            <sz val="9"/>
            <color indexed="81"/>
            <rFont val="Tahoma"/>
            <family val="2"/>
          </rPr>
          <t>achieve a very small GAAP net income in Q1</t>
        </r>
        <r>
          <rPr>
            <sz val="9"/>
            <color indexed="81"/>
            <rFont val="Tahoma"/>
            <family val="2"/>
          </rPr>
          <t xml:space="preserve">, but that will require us to successfully execute on many fronts including handling logistics and delivery challenges in Europe and China. The higher in-transit
inventory will also negatively impact operating cash flows in Q1."
</t>
        </r>
      </text>
    </comment>
    <comment ref="B30" authorId="0" shapeId="0" xr:uid="{00000000-0006-0000-0100-000003000000}">
      <text>
        <r>
          <rPr>
            <sz val="9"/>
            <color indexed="81"/>
            <rFont val="Tahoma"/>
            <family val="2"/>
          </rPr>
          <t>This adjustment represents the difference between the cash paid to a financing fund investor for their noncontrolling interest in one of the TSLA subsidiaries and the carrying amount of the noncontrolling interest on our consolidated balance sheet, in accordance with ASC 260, Earnings per Share.</t>
        </r>
      </text>
    </comment>
    <comment ref="N46" authorId="0" shapeId="0" xr:uid="{00000000-0006-0000-0100-000007000000}">
      <text>
        <r>
          <rPr>
            <b/>
            <sz val="9"/>
            <color rgb="FF000000"/>
            <rFont val="Tahoma"/>
            <family val="2"/>
          </rPr>
          <t xml:space="preserve">Source: </t>
        </r>
        <r>
          <rPr>
            <sz val="9"/>
            <color rgb="FF000000"/>
            <rFont val="Tahoma"/>
            <family val="2"/>
          </rPr>
          <t xml:space="preserve">April 4, 2019 Delivery Update. 
</t>
        </r>
      </text>
    </comment>
    <comment ref="N48" authorId="0" shapeId="0" xr:uid="{00000000-0006-0000-0100-000009000000}">
      <text>
        <r>
          <rPr>
            <b/>
            <sz val="9"/>
            <color indexed="81"/>
            <rFont val="Tahoma"/>
            <family val="2"/>
          </rPr>
          <t xml:space="preserve">Source: </t>
        </r>
        <r>
          <rPr>
            <sz val="9"/>
            <color indexed="81"/>
            <rFont val="Tahoma"/>
            <family val="2"/>
          </rPr>
          <t>April 4, 2019 Delivery Update.</t>
        </r>
        <r>
          <rPr>
            <b/>
            <sz val="9"/>
            <color indexed="81"/>
            <rFont val="Tahoma"/>
            <family val="2"/>
          </rPr>
          <t xml:space="preserve">
4Q2018 Shareholder Letter:</t>
        </r>
        <r>
          <rPr>
            <sz val="9"/>
            <color indexed="81"/>
            <rFont val="Tahoma"/>
            <family val="2"/>
          </rPr>
          <t xml:space="preserve"> "While the number of Model 3 vehicles produced should increase sequentially in Q1, deliveries in North America during Q1 will be lower than the prior quarter as we start delivering cars in Europe and China for the first time. As a result of the start of Model 3 expansion into Europe and China, deliveries will be lower than production by about 10,000 units due to vehicle transit times to these markets."</t>
        </r>
      </text>
    </comment>
    <comment ref="N51" authorId="0" shapeId="0" xr:uid="{00000000-0006-0000-0100-00000A000000}">
      <text>
        <r>
          <rPr>
            <b/>
            <sz val="9"/>
            <color indexed="81"/>
            <rFont val="Tahoma"/>
            <family val="2"/>
          </rPr>
          <t xml:space="preserve">Source: </t>
        </r>
        <r>
          <rPr>
            <sz val="9"/>
            <color indexed="81"/>
            <rFont val="Tahoma"/>
            <family val="2"/>
          </rPr>
          <t>April 4, 2019 Delivery Update.</t>
        </r>
      </text>
    </comment>
    <comment ref="N53" authorId="0" shapeId="0" xr:uid="{00000000-0006-0000-0100-00000B000000}">
      <text>
        <r>
          <rPr>
            <b/>
            <sz val="9"/>
            <color indexed="81"/>
            <rFont val="Tahoma"/>
            <family val="2"/>
          </rPr>
          <t>Source:</t>
        </r>
        <r>
          <rPr>
            <sz val="9"/>
            <color indexed="81"/>
            <rFont val="Tahoma"/>
            <family val="2"/>
          </rPr>
          <t xml:space="preserve"> April 4, 2019 Delivery Update.
</t>
        </r>
        <r>
          <rPr>
            <b/>
            <sz val="9"/>
            <color indexed="81"/>
            <rFont val="Tahoma"/>
            <family val="2"/>
          </rPr>
          <t>4Q2018 Shareholder Letter:</t>
        </r>
        <r>
          <rPr>
            <sz val="9"/>
            <color indexed="81"/>
            <rFont val="Tahoma"/>
            <family val="2"/>
          </rPr>
          <t xml:space="preserve"> "Because of the first scheduled reduction of the federal EV tax credit on January 1, 2019, we likely saw a pull-forward of demand in the US for Model S and Model X into 2018. Both Model S and Model X reached all-time high market shares in the US in the second half of 2018. Model S, for example, accounted for 38% of its segment in the US. Because this high level of demand presumably represented a pull-forward, we are expecting our Model S and Model X deliveries in Q1 2019 to be slightly below Q1 2018."</t>
        </r>
      </text>
    </comment>
    <comment ref="R58" authorId="0" shapeId="0" xr:uid="{00000000-0006-0000-0100-00000D000000}">
      <text>
        <r>
          <rPr>
            <sz val="9"/>
            <color rgb="FF000000"/>
            <rFont val="Tahoma"/>
            <family val="2"/>
          </rPr>
          <t>Reaffirmed vehilce delivery guidance of 360k to 400k</t>
        </r>
        <r>
          <rPr>
            <b/>
            <sz val="9"/>
            <color rgb="FF000000"/>
            <rFont val="Tahoma"/>
            <family val="2"/>
          </rPr>
          <t xml:space="preserve"> Source: April 4, 2019 Delivery Update.
</t>
        </r>
        <r>
          <rPr>
            <b/>
            <sz val="9"/>
            <color rgb="FF000000"/>
            <rFont val="Tahoma"/>
            <family val="2"/>
          </rPr>
          <t xml:space="preserve">
</t>
        </r>
        <r>
          <rPr>
            <b/>
            <sz val="9"/>
            <color rgb="FF000000"/>
            <rFont val="Tahoma"/>
            <family val="2"/>
          </rPr>
          <t xml:space="preserve">
</t>
        </r>
        <r>
          <rPr>
            <b/>
            <sz val="9"/>
            <color rgb="FF000000"/>
            <rFont val="Tahoma"/>
            <family val="2"/>
          </rPr>
          <t xml:space="preserve">4Q2018 Shareholder Letter: </t>
        </r>
        <r>
          <rPr>
            <sz val="9"/>
            <color rgb="FF000000"/>
            <rFont val="Tahoma"/>
            <family val="2"/>
          </rPr>
          <t>"In total, we are expecting to deliver 360,000 to 400,000 vehicles in 2019, representing a growth of approximately 45% to 65% compared to 2018. In this range, we are expecting to have positive GAAP net income and to generate positive free cash flow (operating cash flow less capex) in every quarter beyond Q1 2019. We believe these results will be substantially driven by our restructuring action and the ongoing financial discipline with which we are managing the business."</t>
        </r>
      </text>
    </comment>
    <comment ref="I71" authorId="0" shapeId="0" xr:uid="{00000000-0006-0000-0100-00000F000000}">
      <text>
        <r>
          <rPr>
            <sz val="9"/>
            <color indexed="81"/>
            <rFont val="Tahoma"/>
            <family val="2"/>
          </rPr>
          <t>Includes 129 MWh South Australian project installed in 2017 with commercial transfer in 1Q2018</t>
        </r>
      </text>
    </comment>
    <comment ref="R98" authorId="0" shapeId="0" xr:uid="{00000000-0006-0000-0100-000010000000}">
      <text>
        <r>
          <rPr>
            <b/>
            <sz val="9"/>
            <color indexed="81"/>
            <rFont val="Tahoma"/>
            <family val="2"/>
          </rPr>
          <t>4Q2018 Shareholder Letter:</t>
        </r>
        <r>
          <rPr>
            <sz val="9"/>
            <color indexed="81"/>
            <rFont val="Tahoma"/>
            <family val="2"/>
          </rPr>
          <t xml:space="preserve"> "Our operating expenses will grow by less than 10% in 2019, thus creating massive leverage given the top line growth in 2019. This year, we will continue to implement more automation projects, and our ongoing cost reduction efforts will also make an impact. Since about 70% of Model 3 customers made a purchase without a test drive in the second half of 2018, we believe we can leverage our retail
network further."</t>
        </r>
      </text>
    </comment>
  </commentList>
</comments>
</file>

<file path=xl/sharedStrings.xml><?xml version="1.0" encoding="utf-8"?>
<sst xmlns="http://schemas.openxmlformats.org/spreadsheetml/2006/main" count="349" uniqueCount="198">
  <si>
    <t>Basic shares outstanding</t>
  </si>
  <si>
    <t xml:space="preserve">Diluted shares outstanding </t>
  </si>
  <si>
    <t>Effective tax rate</t>
  </si>
  <si>
    <t>(Dollars in millions, except per share data)</t>
  </si>
  <si>
    <t>Share repurchase assumptions: average price</t>
  </si>
  <si>
    <t>Share repurchase: amount in the period ($M)</t>
  </si>
  <si>
    <t>Provisions for income tax</t>
  </si>
  <si>
    <t xml:space="preserve">Basic EPS </t>
  </si>
  <si>
    <t xml:space="preserve">Diluted EPS </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</si>
  <si>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</si>
  <si>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</si>
  <si>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</si>
  <si>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</si>
  <si>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</si>
  <si>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</si>
  <si>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</si>
  <si>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</si>
  <si>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t>Segment Data</t>
  </si>
  <si>
    <t>Reconciliation</t>
  </si>
  <si>
    <t>Interest expense</t>
  </si>
  <si>
    <t>Share Count Analysis (ASR included in change)</t>
  </si>
  <si>
    <t>Revenue</t>
  </si>
  <si>
    <t>Notes &amp; Instructions</t>
  </si>
  <si>
    <r>
      <rPr>
        <b/>
        <sz val="11"/>
        <color theme="1"/>
        <rFont val="Calibri"/>
        <family val="2"/>
        <scheme val="minor"/>
      </rPr>
      <t>Property &amp; Equipment (P&amp;E):</t>
    </r>
    <r>
      <rPr>
        <sz val="11"/>
        <color theme="1"/>
        <rFont val="Calibri"/>
        <family val="2"/>
        <scheme val="minor"/>
      </rPr>
      <t xml:space="preserve"> Based on the ratio of capital expenditures to revenue, and estimates for depreciation.</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</si>
  <si>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</si>
  <si>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</si>
  <si>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Color code: </t>
    </r>
    <r>
      <rPr>
        <sz val="11"/>
        <color theme="1"/>
        <rFont val="Calibri"/>
        <family val="2"/>
        <scheme val="minor"/>
      </rPr>
      <t>Blue cells represent our primary assumptions which drive the model. Orange cells have been calibrated to meet consensus estimates. Purple cells have been calibrated to meet the guidance from the company's management team.</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</si>
  <si>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</si>
  <si>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</si>
  <si>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</si>
  <si>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t>Dec-2018</t>
  </si>
  <si>
    <t>Sept-2018</t>
  </si>
  <si>
    <t>Mar-2019</t>
  </si>
  <si>
    <t>June-2019</t>
  </si>
  <si>
    <t>Sept-2017</t>
  </si>
  <si>
    <t>Dec-2017</t>
  </si>
  <si>
    <t>Mar-2018</t>
  </si>
  <si>
    <t>June-2018</t>
  </si>
  <si>
    <t>Mar-2017</t>
  </si>
  <si>
    <t>June-2017</t>
  </si>
  <si>
    <t>Sept-2019</t>
  </si>
  <si>
    <t>Dec-2019</t>
  </si>
  <si>
    <t>Mar-2020</t>
  </si>
  <si>
    <t>June-2020</t>
  </si>
  <si>
    <t>Sept-2020</t>
  </si>
  <si>
    <t>Dec-2020</t>
  </si>
  <si>
    <t>Total Revenue</t>
  </si>
  <si>
    <t xml:space="preserve">Research and development </t>
  </si>
  <si>
    <t>Total cost of revenue</t>
  </si>
  <si>
    <t>Net income/(loss)</t>
  </si>
  <si>
    <t>Non-GAAP Adjustments</t>
  </si>
  <si>
    <t>Non-GAAP net income</t>
  </si>
  <si>
    <t>Non-GAAP EPS</t>
  </si>
  <si>
    <t>Total operating expenses</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</si>
  <si>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GutenebrgResearch.com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2019. </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</si>
  <si>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</si>
  <si>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</si>
  <si>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</si>
  <si>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rPr>
        <b/>
        <sz val="11"/>
        <color theme="1"/>
        <rFont val="Calibri"/>
        <family val="2"/>
        <scheme val="minor"/>
      </rPr>
      <t xml:space="preserve">Equity Section: </t>
    </r>
    <r>
      <rPr>
        <sz val="11"/>
        <color theme="1"/>
        <rFont val="Calibri"/>
        <family val="2"/>
        <scheme val="minor"/>
      </rPr>
      <t>Common stock &amp; APIC are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the impact is expected to be de minimis to the overall model and difficult to project, so it is held flat to the last reported balance.</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</si>
  <si>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</si>
  <si>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</si>
  <si>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t>Tesla Income Statement</t>
  </si>
  <si>
    <t>2019E</t>
  </si>
  <si>
    <t>2020E</t>
  </si>
  <si>
    <t>2017</t>
  </si>
  <si>
    <t>2018</t>
  </si>
  <si>
    <t>1Q2017</t>
  </si>
  <si>
    <t>2Q2017</t>
  </si>
  <si>
    <t>3Q2017</t>
  </si>
  <si>
    <t>4Q2017</t>
  </si>
  <si>
    <t>1Q2018</t>
  </si>
  <si>
    <t>2Q2018</t>
  </si>
  <si>
    <t>3Q2018</t>
  </si>
  <si>
    <t>4Q2018</t>
  </si>
  <si>
    <t>4Q2019E</t>
  </si>
  <si>
    <t>1Q2020E</t>
  </si>
  <si>
    <t>2Q2020E</t>
  </si>
  <si>
    <t>3Q2020E</t>
  </si>
  <si>
    <t>4Q2020E</t>
  </si>
  <si>
    <t xml:space="preserve">   Gross profit</t>
  </si>
  <si>
    <t>Selling, general, and administrative</t>
  </si>
  <si>
    <t>Restructuring and other</t>
  </si>
  <si>
    <t>Interest income</t>
  </si>
  <si>
    <t>Other income/(expenses), net</t>
  </si>
  <si>
    <t>Net loss attributable to noncontrolling interests</t>
  </si>
  <si>
    <t>Net income/(loss) attributable to common stockholders</t>
  </si>
  <si>
    <t>Model 3 units delivered</t>
  </si>
  <si>
    <t>Model S &amp; X Units delivered</t>
  </si>
  <si>
    <r>
      <t xml:space="preserve">Average auto </t>
    </r>
    <r>
      <rPr>
        <u/>
        <sz val="11"/>
        <rFont val="Calibri"/>
        <family val="2"/>
        <scheme val="minor"/>
      </rPr>
      <t>sales</t>
    </r>
    <r>
      <rPr>
        <sz val="11"/>
        <rFont val="Calibri"/>
        <family val="2"/>
        <scheme val="minor"/>
      </rPr>
      <t xml:space="preserve"> revenue per delivery ($ per car)</t>
    </r>
  </si>
  <si>
    <r>
      <t xml:space="preserve">Automotive </t>
    </r>
    <r>
      <rPr>
        <b/>
        <u/>
        <sz val="11"/>
        <rFont val="Calibri"/>
        <family val="2"/>
        <scheme val="minor"/>
      </rPr>
      <t>sales</t>
    </r>
    <r>
      <rPr>
        <b/>
        <sz val="11"/>
        <rFont val="Calibri"/>
        <family val="2"/>
        <scheme val="minor"/>
      </rPr>
      <t xml:space="preserve"> revenue ($M)</t>
    </r>
  </si>
  <si>
    <r>
      <t xml:space="preserve">Average auto </t>
    </r>
    <r>
      <rPr>
        <u/>
        <sz val="11"/>
        <rFont val="Calibri"/>
        <family val="2"/>
        <scheme val="minor"/>
      </rPr>
      <t>lease</t>
    </r>
    <r>
      <rPr>
        <sz val="11"/>
        <rFont val="Calibri"/>
        <family val="2"/>
        <scheme val="minor"/>
      </rPr>
      <t xml:space="preserve"> revenue per delivery ($ per car)</t>
    </r>
  </si>
  <si>
    <r>
      <t xml:space="preserve">Automotive </t>
    </r>
    <r>
      <rPr>
        <b/>
        <u/>
        <sz val="11"/>
        <rFont val="Calibri"/>
        <family val="2"/>
        <scheme val="minor"/>
      </rPr>
      <t>lease</t>
    </r>
    <r>
      <rPr>
        <b/>
        <sz val="11"/>
        <rFont val="Calibri"/>
        <family val="2"/>
        <scheme val="minor"/>
      </rPr>
      <t xml:space="preserve"> revenue ($M)</t>
    </r>
  </si>
  <si>
    <r>
      <t xml:space="preserve">Auto </t>
    </r>
    <r>
      <rPr>
        <u/>
        <sz val="11"/>
        <rFont val="Calibri"/>
        <family val="2"/>
        <scheme val="minor"/>
      </rPr>
      <t xml:space="preserve">sales </t>
    </r>
    <r>
      <rPr>
        <sz val="11"/>
        <rFont val="Calibri"/>
        <family val="2"/>
        <scheme val="minor"/>
      </rPr>
      <t>cost of revenues</t>
    </r>
  </si>
  <si>
    <r>
      <t xml:space="preserve">Auto </t>
    </r>
    <r>
      <rPr>
        <u/>
        <sz val="11"/>
        <rFont val="Calibri"/>
        <family val="2"/>
        <scheme val="minor"/>
      </rPr>
      <t xml:space="preserve">lease </t>
    </r>
    <r>
      <rPr>
        <sz val="11"/>
        <rFont val="Calibri"/>
        <family val="2"/>
        <scheme val="minor"/>
      </rPr>
      <t>cost of revenues</t>
    </r>
  </si>
  <si>
    <r>
      <t xml:space="preserve">Auto </t>
    </r>
    <r>
      <rPr>
        <u/>
        <sz val="11"/>
        <rFont val="Calibri"/>
        <family val="2"/>
        <scheme val="minor"/>
      </rPr>
      <t>lease</t>
    </r>
    <r>
      <rPr>
        <sz val="11"/>
        <rFont val="Calibri"/>
        <family val="2"/>
        <scheme val="minor"/>
      </rPr>
      <t xml:space="preserve"> gross margin (%)</t>
    </r>
  </si>
  <si>
    <r>
      <t xml:space="preserve">Auto </t>
    </r>
    <r>
      <rPr>
        <u/>
        <sz val="11"/>
        <rFont val="Calibri"/>
        <family val="2"/>
        <scheme val="minor"/>
      </rPr>
      <t>sales</t>
    </r>
    <r>
      <rPr>
        <sz val="11"/>
        <rFont val="Calibri"/>
        <family val="2"/>
        <scheme val="minor"/>
      </rPr>
      <t xml:space="preserve"> gross margin (%)</t>
    </r>
  </si>
  <si>
    <t>Automotive Segment</t>
  </si>
  <si>
    <r>
      <t xml:space="preserve">Energy </t>
    </r>
    <r>
      <rPr>
        <u/>
        <sz val="11"/>
        <rFont val="Calibri"/>
        <family val="2"/>
        <scheme val="minor"/>
      </rPr>
      <t>storage</t>
    </r>
    <r>
      <rPr>
        <sz val="11"/>
        <rFont val="Calibri"/>
        <family val="2"/>
        <scheme val="minor"/>
      </rPr>
      <t xml:space="preserve"> deployed during the quarter (MWh)</t>
    </r>
  </si>
  <si>
    <t>Solar energy generation (MW)</t>
  </si>
  <si>
    <t>Solar energy generation cash and loan sales</t>
  </si>
  <si>
    <r>
      <t xml:space="preserve">Growth in Energy </t>
    </r>
    <r>
      <rPr>
        <u/>
        <sz val="11"/>
        <rFont val="Calibri"/>
        <family val="2"/>
        <scheme val="minor"/>
      </rPr>
      <t>storage</t>
    </r>
    <r>
      <rPr>
        <sz val="11"/>
        <rFont val="Calibri"/>
        <family val="2"/>
        <scheme val="minor"/>
      </rPr>
      <t xml:space="preserve"> deployed (YoY</t>
    </r>
  </si>
  <si>
    <t>Energy Generation and Storage revenue ($M)</t>
  </si>
  <si>
    <t>Energy Generation and Storage cost of revenue ($M)</t>
  </si>
  <si>
    <t>Energy Generation and Storage gross margin (%)</t>
  </si>
  <si>
    <t>Growth in Energy Gen &amp; Storage revenue (YoY)</t>
  </si>
  <si>
    <t>Energy Generation and Storage Segment</t>
  </si>
  <si>
    <t>Services and Other Segment</t>
  </si>
  <si>
    <t>Services and Other revenue ($M)</t>
  </si>
  <si>
    <t>Growth in Services and Other revenue (YoY)</t>
  </si>
  <si>
    <t>Services and Other cost of revenue ($M)</t>
  </si>
  <si>
    <t>Services and Other gross margin (%)</t>
  </si>
  <si>
    <t>Operating margin</t>
  </si>
  <si>
    <t>R&amp;D as a percentage of total revenue</t>
  </si>
  <si>
    <t>SG&amp;A as a percentage of total revenue</t>
  </si>
  <si>
    <t>Cost of revenue</t>
  </si>
  <si>
    <t>Non-GAAP Gross profit</t>
  </si>
  <si>
    <t>Stock-based compensation expense (gross profit)</t>
  </si>
  <si>
    <t>ZEV credit  (gross profit)</t>
  </si>
  <si>
    <t>Acquistion related transaction costs (net income)</t>
  </si>
  <si>
    <t>Stock-based comp exp (net income)</t>
  </si>
  <si>
    <t>(Gains)/losses related to SolarCity (net income)</t>
  </si>
  <si>
    <t>Model 3 delivery percentage</t>
  </si>
  <si>
    <t>Model S &amp; X delivery percentage</t>
  </si>
  <si>
    <t>Operating expense growth (YoY)</t>
  </si>
  <si>
    <t>Restructuring costs (net income)</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</si>
  <si>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came from, so that the user of the model can understand the estimate and change it as he/she sees fit. </t>
    </r>
  </si>
  <si>
    <r>
      <t>Cash Flow Statement:</t>
    </r>
    <r>
      <rPr>
        <i/>
        <sz val="11"/>
        <color theme="1"/>
        <rFont val="Calibri"/>
        <family val="2"/>
        <scheme val="minor"/>
      </rPr>
      <t>Generally driven by the net income from the Income statement, adjusted for non-cash items, and changes in Balance Sheet accounts.</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</si>
  <si>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Model 3, Model S &amp; X deliveries, average price of each automobile, growth in energy generation and storage revenue, and services revenue. Cost of sales are driven by gross margin estimates. Operating expenses are driven by R&amp;D and SG&amp;A estimates. Management's guidance is used as a reasonableness check against the forecasts entered into this model.</t>
    </r>
  </si>
  <si>
    <t>Gross margin (GAAP)</t>
  </si>
  <si>
    <t>Gross margin (Non-GAAP)</t>
  </si>
  <si>
    <t>1Q2019</t>
  </si>
  <si>
    <t>2Q2019</t>
  </si>
  <si>
    <t>ASC 260 Adjustment</t>
  </si>
  <si>
    <t>post ASC260 Net income/(loss) to common stockholders</t>
  </si>
  <si>
    <t>Model 3 Production &amp; Deliveries</t>
  </si>
  <si>
    <t>Model S &amp; X Production &amp; Deliveries</t>
  </si>
  <si>
    <t>Estimated Model S &amp; X units per week (average for the qtr)</t>
  </si>
  <si>
    <t>Model S &amp; X Units produced in the quarter</t>
  </si>
  <si>
    <t>Model 3 units produced in the quarter</t>
  </si>
  <si>
    <t>Estimated Model 3 units per week (average for the quarter)</t>
  </si>
  <si>
    <t>Percentage of deliveries leased (S, X, &amp; 3)</t>
  </si>
  <si>
    <t>Total Auto Segment Revenue &amp; Gross Margin Details (S, X, &amp; 3)</t>
  </si>
  <si>
    <t>Number of weeks in the quarter</t>
  </si>
  <si>
    <t xml:space="preserve">Estimated Peak Model 3 units produced per week </t>
  </si>
  <si>
    <t xml:space="preserve">Total vehicles produced </t>
  </si>
  <si>
    <t>Total Vehicle Production &amp; Deliveries (All Models)</t>
  </si>
  <si>
    <t>Average total vehicles produced</t>
  </si>
  <si>
    <t xml:space="preserve">Total vehicles delivered </t>
  </si>
  <si>
    <t>All other models produced &amp; delivered (Roadster, Y, Pickup, Semi)</t>
  </si>
  <si>
    <r>
      <t xml:space="preserve">Last updated: </t>
    </r>
    <r>
      <rPr>
        <sz val="11"/>
        <color theme="1"/>
        <rFont val="Calibri"/>
        <family val="2"/>
        <scheme val="minor"/>
      </rPr>
      <t>10/5/2019</t>
    </r>
  </si>
  <si>
    <t>1Q17</t>
  </si>
  <si>
    <t>2Q17</t>
  </si>
  <si>
    <t>3Q17</t>
  </si>
  <si>
    <t>4Q17</t>
  </si>
  <si>
    <t>1Q18</t>
  </si>
  <si>
    <t>2Q18</t>
  </si>
  <si>
    <t>3Q18</t>
  </si>
  <si>
    <t>4Q18</t>
  </si>
  <si>
    <t>1Q19</t>
  </si>
  <si>
    <t>2Q19</t>
  </si>
  <si>
    <t>4Q19E</t>
  </si>
  <si>
    <t>1Q20E</t>
  </si>
  <si>
    <t>2Q20E</t>
  </si>
  <si>
    <t>3Q20E</t>
  </si>
  <si>
    <t>4Q20E</t>
  </si>
  <si>
    <t>Growth in deliveries (% YoY)</t>
  </si>
  <si>
    <t>Blue cells = Contributor estimates (last updated October-2019)</t>
  </si>
  <si>
    <t>Purple cells = Company guidance (updated October-2019)</t>
  </si>
  <si>
    <t>Multiple Valuation</t>
  </si>
  <si>
    <t>P/E used for valuation</t>
  </si>
  <si>
    <t>Implied P/E 12-month target value</t>
  </si>
  <si>
    <t>(a) Multiples are calculated excluding the value of net cash and are based on the 3-month average daily share price compared to the consensus EPS estimates for the next twelve month period. For Apple, we adjust the net cash per share to approximate the tax implications of repatriating cash balances that are held in foreign countries.</t>
  </si>
  <si>
    <t>Risk Estimation Summary (g)</t>
  </si>
  <si>
    <t>Mean monthly return</t>
  </si>
  <si>
    <t xml:space="preserve">Standard deviation </t>
  </si>
  <si>
    <t>Implied target value</t>
  </si>
  <si>
    <t>Implied upper bound</t>
  </si>
  <si>
    <t>Implied Lower bound</t>
  </si>
  <si>
    <t xml:space="preserve">Implied target price band </t>
  </si>
  <si>
    <t>P/E NTM</t>
  </si>
  <si>
    <t>PE 2020E</t>
  </si>
  <si>
    <t>Implied P/E 2020 target value</t>
  </si>
  <si>
    <t>NTM Earnings</t>
  </si>
  <si>
    <t>Implied PE</t>
  </si>
  <si>
    <t>2020 Earnings</t>
  </si>
  <si>
    <t>Implied P/E</t>
  </si>
  <si>
    <t xml:space="preserve">Date </t>
  </si>
  <si>
    <t>Closing Value</t>
  </si>
  <si>
    <t>Return</t>
  </si>
  <si>
    <t>Mean</t>
  </si>
  <si>
    <t>STD</t>
  </si>
  <si>
    <r>
      <t xml:space="preserve"> The Multiple valuation is kept constant at certain points during each quarter to isolate the impact from changes in earnings estimates.   </t>
    </r>
    <r>
      <rPr>
        <b/>
        <sz val="11"/>
        <color theme="3"/>
        <rFont val="Calibri"/>
        <family val="2"/>
        <scheme val="minor"/>
      </rPr>
      <t xml:space="preserve">The multiple  in this section was last updated on 10/15/2017. </t>
    </r>
  </si>
  <si>
    <t>RETURNS</t>
  </si>
  <si>
    <t>PE Determination</t>
  </si>
  <si>
    <t>Oct 24th 2019 Closing</t>
  </si>
  <si>
    <r>
      <t xml:space="preserve">(g)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
    </r>
    <r>
      <rPr>
        <b/>
        <sz val="11"/>
        <color theme="4" tint="-0.499984740745262"/>
        <rFont val="Calibri"/>
        <family val="2"/>
        <scheme val="minor"/>
      </rPr>
      <t xml:space="preserve">The mean &amp; standard deviation in this section were last updated on 10/24/2019. </t>
    </r>
  </si>
  <si>
    <t>3Q19</t>
  </si>
  <si>
    <t>3Q2019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</si>
</sst>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quot;$&quot;#,##0"/>
    <numFmt numFmtId="165" formatCode="_-&quot;$&quot;* #,##0_-;\-&quot;$&quot;* #,##0_-;_-&quot;$&quot;* &quot;-&quot;_-;_-@_-"/>
    <numFmt numFmtId="166" formatCode="_-&quot;$&quot;* #,##0.00_-;\-&quot;$&quot;* #,##0.00_-;_-&quot;$&quot;* &quot;-&quot;??_-;_-@_-"/>
    <numFmt numFmtId="167" formatCode="_(* #,##0.0_);_(* \(#,##0.0\);_(* &quot;-&quot;??_);_(@_)"/>
    <numFmt numFmtId="168" formatCode="_(* #,##0_);_(* \(#,##0\);_(* &quot;-&quot;??_);_(@_)"/>
    <numFmt numFmtId="169" formatCode="0.0%"/>
    <numFmt numFmtId="170" formatCode="_(* #,##0.000_);_(* \(#,##0.000\);_(* &quot;-&quot;??_);_(@_)"/>
    <numFmt numFmtId="171" formatCode="0.0_)\%;\(0.0\)\%;0.0_)\%;@_)_%"/>
    <numFmt numFmtId="172" formatCode="#,##0.0_)_%;\(#,##0.0\)_%;0.0_)_%;@_)_%"/>
    <numFmt numFmtId="173" formatCode="#,##0.0_);\(#,##0.0\);#,##0.0_);@_)"/>
    <numFmt numFmtId="174" formatCode="&quot;$&quot;_(#,##0.00_);&quot;$&quot;\(#,##0.00\);&quot;$&quot;_(0.00_);@_)"/>
    <numFmt numFmtId="175" formatCode="#,##0.00_);\(#,##0.00\);0.00_);@_)"/>
    <numFmt numFmtId="176" formatCode="\€_(#,##0.00_);\€\(#,##0.00\);\€_(0.00_);@_)"/>
    <numFmt numFmtId="177" formatCode="#,##0_)\x;\(#,##0\)\x;0_)\x;@_)_x"/>
    <numFmt numFmtId="178" formatCode="#,##0_)_x;\(#,##0\)_x;0_)_x;@_)_x"/>
    <numFmt numFmtId="179" formatCode="* #,##0.00_);\(#,##0.00\)"/>
    <numFmt numFmtId="180" formatCode="#,##0;\-#,##0;&quot;-&quot;"/>
    <numFmt numFmtId="181" formatCode="0.000000"/>
    <numFmt numFmtId="182" formatCode="_(* #,##0,,_);_(* \(#,##0,,\);_(* &quot;-&quot;_)"/>
    <numFmt numFmtId="183" formatCode="_(* #,##0_);[Red]_(* \(#,##0\);_(* &quot;&quot;&quot;&quot;&quot;&quot;&quot;&quot;\ \-\ &quot;&quot;&quot;&quot;&quot;&quot;&quot;&quot;_);_(@_)"/>
    <numFmt numFmtId="184" formatCode="&quot;£&quot;#,##0;[Red]\-&quot;£&quot;#,##0"/>
    <numFmt numFmtId="185" formatCode="_(* #,##0,_);[Red]_(* \(#,##0,\);_(* &quot;&quot;&quot;&quot;&quot;&quot;&quot;&quot;\ \-\ &quot;&quot;&quot;&quot;&quot;&quot;&quot;&quot;_);_(@_)"/>
    <numFmt numFmtId="186" formatCode="0.00_);[Red]\(0.00\)"/>
    <numFmt numFmtId="187" formatCode="0%;\(0%\);;"/>
    <numFmt numFmtId="188" formatCode="&quot;£&quot;#,##0.00;[Red]\-&quot;£&quot;#,##0.00"/>
    <numFmt numFmtId="189" formatCode="_(* #,##0.000_);_(* \(#,##0.000\);_(* &quot;-&quot;_);_(@_)"/>
    <numFmt numFmtId="190" formatCode="0%;\(0%\);&quot;-&quot;"/>
    <numFmt numFmtId="191" formatCode="_-&quot;£&quot;* #,##0_-;\-&quot;£&quot;* #,##0_-;_-&quot;£&quot;* &quot;-&quot;_-;_-@_-"/>
    <numFmt numFmtId="192" formatCode="_(&quot;$&quot;* #,##0,_);_(&quot;$&quot;* \(#,##0,\);_(&quot;$&quot;* &quot;-&quot;_);_(@_)"/>
    <numFmt numFmtId="193" formatCode="#,##0\ ;\(#,##0.0\)"/>
    <numFmt numFmtId="194" formatCode="0.0"/>
    <numFmt numFmtId="195" formatCode="#,##0.00;\-#,##0.00;&quot;-&quot;"/>
    <numFmt numFmtId="196" formatCode="_._.* \(#,##0\)_%;_._.* #,##0_)_%;_._.* 0_)_%;_._.@_)_%"/>
    <numFmt numFmtId="197" formatCode="_._.&quot;$&quot;* \(#,##0\)_%;_._.&quot;$&quot;* #,##0_)_%;_._.&quot;$&quot;* 0_)_%;_._.@_)_%"/>
    <numFmt numFmtId="198" formatCode="&quot;$&quot;0.00_)"/>
    <numFmt numFmtId="199" formatCode="&quot;SFr.&quot;\ #,##0.00;&quot;SFr.&quot;\ \-#,##0.00"/>
    <numFmt numFmtId="200" formatCode="#,##0;\(#,##0\)"/>
    <numFmt numFmtId="201" formatCode="_([$€-2]* #,##0.00_);_([$€-2]* \(#,##0.00\);_([$€-2]* &quot;-&quot;??_)"/>
    <numFmt numFmtId="202" formatCode="_-* #,##0\ _D_M_-;\-* #,##0\ _D_M_-;_-* &quot;-&quot;\ _D_M_-;_-@_-"/>
    <numFmt numFmtId="203" formatCode="_-* #,##0.00\ _D_M_-;\-* #,##0.00\ _D_M_-;_-* &quot;-&quot;??\ _D_M_-;_-@_-"/>
    <numFmt numFmtId="204" formatCode="_-* #,##0\ &quot;DM&quot;_-;\-* #,##0\ &quot;DM&quot;_-;_-* &quot;-&quot;\ &quot;DM&quot;_-;_-@_-"/>
    <numFmt numFmtId="205" formatCode="_-* #,##0.00\ &quot;DM&quot;_-;\-* #,##0.00\ &quot;DM&quot;_-;_-* &quot;-&quot;??\ &quot;DM&quot;_-;_-@_-"/>
    <numFmt numFmtId="206" formatCode="#,##0.0_);\(#,##0.0\)"/>
    <numFmt numFmtId="207" formatCode="#,##0.0\ ;\(#,##0.0\)"/>
    <numFmt numFmtId="208" formatCode="0%;\(0%\)"/>
    <numFmt numFmtId="209" formatCode="&quot;SFr.&quot;#,##0;[Red]&quot;SFr.&quot;\-#,##0"/>
    <numFmt numFmtId="210" formatCode="#,##0.0000000000;\-#,##0.0000000000"/>
    <numFmt numFmtId="211" formatCode="#,##0.0;\-#,##0.0"/>
    <numFmt numFmtId="212" formatCode="#,##0.000;\-#,##0.000"/>
    <numFmt numFmtId="213" formatCode="#,##0.0000;\-#,##0.0000"/>
    <numFmt numFmtId="214" formatCode="#,##0.00000;\-#,##0.00000"/>
    <numFmt numFmtId="215" formatCode="#,##0.000000;\-#,##0.000000"/>
    <numFmt numFmtId="216" formatCode="#,##0.0000000;\-#,##0.0000000"/>
    <numFmt numFmtId="217" formatCode="#,##0.00000000;\-#,##0.00000000"/>
    <numFmt numFmtId="218" formatCode="#,##0.000000000;\-#,##0.000000000"/>
    <numFmt numFmtId="219" formatCode="#,##0___);\(#,##0.00\)"/>
    <numFmt numFmtId="220" formatCode="#,##0&quot;%&quot;"/>
    <numFmt numFmtId="221" formatCode="#,##0_);[Red]\(#,##0\);&quot;-&quot;"/>
    <numFmt numFmtId="222" formatCode="_-&quot;£&quot;* #,##0.00_-;\-&quot;£&quot;* #,##0.00_-;_-&quot;£&quot;* &quot;-&quot;??_-;_-@_-"/>
    <numFmt numFmtId="223" formatCode="*-"/>
    <numFmt numFmtId="224" formatCode="#,##0;[Red]\(#,##0\)"/>
    <numFmt numFmtId="225" formatCode="_(* #,##0.0000_);_(* \(#,##0.0000\);_(* &quot;-&quot;??_);_(@_)"/>
    <numFmt numFmtId="226" formatCode="0\x"/>
    <numFmt numFmtId="227" formatCode="_(* #,##0.0000000_);_(* \(#,##0.0000000\);_(* &quot;-&quot;??_);_(@_)"/>
    <numFmt numFmtId="228" formatCode="0.0000%"/>
    <numFmt numFmtId="229" formatCode="0.000%"/>
  </numFmts>
  <fonts count="8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i/>
      <sz val="11"/>
      <color theme="1"/>
      <name val="Calibri"/>
      <family val="2"/>
      <scheme val="minor"/>
    </font>
    <font>
      <i/>
      <sz val="8"/>
      <name val="Calibri"/>
      <family val="2"/>
      <scheme val="minor"/>
    </font>
    <font>
      <i/>
      <sz val="11"/>
      <color theme="3"/>
      <name val="Calibri"/>
      <family val="2"/>
      <scheme val="minor"/>
    </font>
    <font>
      <i/>
      <sz val="9"/>
      <color theme="3"/>
      <name val="Calibri"/>
      <family val="2"/>
      <scheme val="minor"/>
    </font>
    <font>
      <b/>
      <i/>
      <u/>
      <sz val="12"/>
      <color theme="3"/>
      <name val="Calibri"/>
      <family val="2"/>
      <scheme val="minor"/>
    </font>
    <font>
      <b/>
      <i/>
      <u/>
      <sz val="16"/>
      <color theme="1"/>
      <name val="Calibri"/>
      <family val="2"/>
      <scheme val="minor"/>
    </font>
    <font>
      <b/>
      <i/>
      <sz val="11"/>
      <color theme="1"/>
      <name val="Calibri"/>
      <family val="2"/>
      <scheme val="minor"/>
    </font>
    <font>
      <i/>
      <sz val="11"/>
      <name val="Calibri"/>
      <family val="2"/>
      <scheme val="minor"/>
    </font>
    <font>
      <sz val="11"/>
      <color theme="0"/>
      <name val="Calibri"/>
      <family val="2"/>
      <scheme val="minor"/>
    </font>
    <font>
      <b/>
      <u/>
      <sz val="11"/>
      <color theme="1"/>
      <name val="Calibri"/>
      <family val="2"/>
      <scheme val="minor"/>
    </font>
    <font>
      <u/>
      <sz val="11"/>
      <name val="Calibri"/>
      <family val="2"/>
      <scheme val="minor"/>
    </font>
    <font>
      <b/>
      <i/>
      <u/>
      <sz val="11"/>
      <name val="Calibri"/>
      <family val="2"/>
      <scheme val="minor"/>
    </font>
    <font>
      <i/>
      <sz val="11"/>
      <color rgb="FFFF0000"/>
      <name val="Calibri"/>
      <family val="2"/>
      <scheme val="minor"/>
    </font>
    <font>
      <b/>
      <sz val="11"/>
      <color theme="3"/>
      <name val="Calibri"/>
      <family val="2"/>
      <scheme val="minor"/>
    </font>
    <font>
      <sz val="11"/>
      <color rgb="FF9C5700"/>
      <name val="Calibri"/>
      <family val="2"/>
      <scheme val="minor"/>
    </font>
    <font>
      <sz val="11"/>
      <color rgb="FF00B050"/>
      <name val="Calibri"/>
      <family val="2"/>
      <scheme val="minor"/>
    </font>
    <font>
      <b/>
      <u/>
      <sz val="12"/>
      <color theme="0" tint="-0.14999847407452621"/>
      <name val="Calibri"/>
      <family val="2"/>
      <scheme val="minor"/>
    </font>
    <font>
      <b/>
      <sz val="11"/>
      <color theme="4" tint="-0.499984740745262"/>
      <name val="Calibri"/>
      <family val="2"/>
      <scheme val="minor"/>
    </font>
    <font>
      <b/>
      <sz val="9"/>
      <color rgb="FF000000"/>
      <name val="Tahoma"/>
      <family val="2"/>
    </font>
    <font>
      <sz val="9"/>
      <color rgb="FF000000"/>
      <name val="Tahoma"/>
      <family val="2"/>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FFEB9C"/>
      </patternFill>
    </fill>
  </fills>
  <borders count="4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7" fontId="3" fillId="0" borderId="0" applyFont="0" applyFill="0" applyBorder="0" applyAlignment="0" applyProtection="0"/>
    <xf numFmtId="178"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9" fontId="16" fillId="0" borderId="0">
      <alignment horizontal="center"/>
    </xf>
    <xf numFmtId="37" fontId="17" fillId="0" borderId="0"/>
    <xf numFmtId="37" fontId="18" fillId="0" borderId="0"/>
    <xf numFmtId="164" fontId="19"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9"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9"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9"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9" fillId="0" borderId="2" applyAlignment="0" applyProtection="0"/>
    <xf numFmtId="164" fontId="19" fillId="0" borderId="2" applyAlignment="0" applyProtection="0"/>
    <xf numFmtId="164" fontId="19" fillId="0" borderId="2" applyAlignment="0" applyProtection="0"/>
    <xf numFmtId="164" fontId="19" fillId="0" borderId="2" applyAlignment="0" applyProtection="0"/>
    <xf numFmtId="164" fontId="1" fillId="0" borderId="0" applyAlignment="0" applyProtection="0"/>
    <xf numFmtId="180" fontId="20" fillId="0" borderId="0" applyFill="0" applyBorder="0" applyAlignment="0"/>
    <xf numFmtId="181" fontId="3" fillId="0" borderId="0" applyFill="0" applyBorder="0" applyAlignment="0"/>
    <xf numFmtId="182" fontId="3" fillId="0" borderId="0" applyFill="0" applyBorder="0" applyAlignment="0"/>
    <xf numFmtId="167"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87" fontId="3" fillId="0" borderId="0" applyFill="0" applyBorder="0" applyAlignment="0"/>
    <xf numFmtId="188" fontId="3" fillId="0" borderId="0" applyFill="0" applyBorder="0" applyAlignment="0"/>
    <xf numFmtId="180" fontId="20" fillId="0" borderId="0" applyFill="0" applyBorder="0" applyAlignment="0"/>
    <xf numFmtId="189" fontId="3" fillId="0" borderId="0" applyFill="0" applyBorder="0" applyAlignment="0"/>
    <xf numFmtId="190" fontId="3" fillId="0" borderId="0" applyFill="0" applyBorder="0" applyAlignment="0"/>
    <xf numFmtId="191" fontId="3" fillId="0" borderId="0" applyFill="0" applyBorder="0" applyAlignment="0"/>
    <xf numFmtId="182" fontId="3" fillId="0" borderId="0" applyFill="0" applyBorder="0" applyAlignment="0"/>
    <xf numFmtId="167" fontId="3" fillId="0" borderId="0" applyFill="0" applyBorder="0" applyAlignment="0"/>
    <xf numFmtId="0" fontId="21" fillId="0" borderId="0" applyFill="0" applyBorder="0" applyProtection="0">
      <alignment horizontal="center"/>
      <protection locked="0"/>
    </xf>
    <xf numFmtId="0" fontId="22" fillId="0" borderId="0"/>
    <xf numFmtId="192" fontId="3" fillId="0" borderId="0"/>
    <xf numFmtId="192" fontId="3" fillId="0" borderId="0"/>
    <xf numFmtId="192" fontId="3" fillId="0" borderId="0"/>
    <xf numFmtId="192" fontId="3" fillId="0" borderId="0"/>
    <xf numFmtId="192" fontId="3" fillId="0" borderId="0"/>
    <xf numFmtId="192" fontId="3" fillId="0" borderId="0"/>
    <xf numFmtId="192" fontId="3" fillId="0" borderId="0"/>
    <xf numFmtId="192" fontId="3" fillId="0" borderId="0"/>
    <xf numFmtId="193" fontId="22" fillId="0" borderId="7"/>
    <xf numFmtId="194" fontId="1" fillId="0" borderId="0"/>
    <xf numFmtId="0" fontId="15" fillId="0" borderId="7"/>
    <xf numFmtId="194" fontId="1" fillId="0" borderId="0"/>
    <xf numFmtId="180" fontId="3" fillId="0" borderId="0" applyFont="0" applyFill="0" applyBorder="0" applyAlignment="0" applyProtection="0"/>
    <xf numFmtId="189"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5" fontId="3" fillId="0" borderId="0">
      <alignment horizontal="center"/>
    </xf>
    <xf numFmtId="196" fontId="26" fillId="0" borderId="0" applyFill="0" applyBorder="0" applyProtection="0"/>
    <xf numFmtId="197" fontId="27" fillId="0" borderId="0" applyFont="0" applyFill="0" applyBorder="0" applyAlignment="0" applyProtection="0"/>
    <xf numFmtId="198" fontId="28" fillId="0" borderId="17">
      <protection hidden="1"/>
    </xf>
    <xf numFmtId="182" fontId="3" fillId="0" borderId="0" applyFont="0" applyFill="0" applyBorder="0" applyAlignment="0" applyProtection="0"/>
    <xf numFmtId="167"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9" fontId="22" fillId="0" borderId="0" applyFont="0" applyFill="0" applyBorder="0" applyAlignment="0" applyProtection="0"/>
    <xf numFmtId="200" fontId="27" fillId="0" borderId="0" applyFont="0" applyFill="0" applyBorder="0" applyAlignment="0" applyProtection="0"/>
    <xf numFmtId="180" fontId="31" fillId="0" borderId="0" applyFill="0" applyBorder="0" applyAlignment="0"/>
    <xf numFmtId="189" fontId="3" fillId="0" borderId="0" applyFill="0" applyBorder="0" applyAlignment="0"/>
    <xf numFmtId="182" fontId="3" fillId="0" borderId="0" applyFill="0" applyBorder="0" applyAlignment="0"/>
    <xf numFmtId="167" fontId="3" fillId="0" borderId="0" applyFill="0" applyBorder="0" applyAlignment="0"/>
    <xf numFmtId="180" fontId="31" fillId="0" borderId="0" applyFill="0" applyBorder="0" applyAlignment="0"/>
    <xf numFmtId="189" fontId="3" fillId="0" borderId="0" applyFill="0" applyBorder="0" applyAlignment="0"/>
    <xf numFmtId="190" fontId="3" fillId="0" borderId="0" applyFill="0" applyBorder="0" applyAlignment="0"/>
    <xf numFmtId="191" fontId="3" fillId="0" borderId="0" applyFill="0" applyBorder="0" applyAlignment="0"/>
    <xf numFmtId="182" fontId="3" fillId="0" borderId="0" applyFill="0" applyBorder="0" applyAlignment="0"/>
    <xf numFmtId="167" fontId="3" fillId="0" borderId="0" applyFill="0" applyBorder="0" applyAlignment="0"/>
    <xf numFmtId="198" fontId="28" fillId="0" borderId="17">
      <protection hidden="1"/>
    </xf>
    <xf numFmtId="201"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80" fontId="38" fillId="0" borderId="0" applyFill="0" applyBorder="0" applyAlignment="0"/>
    <xf numFmtId="189" fontId="3" fillId="0" borderId="0" applyFill="0" applyBorder="0" applyAlignment="0"/>
    <xf numFmtId="182" fontId="3" fillId="0" borderId="0" applyFill="0" applyBorder="0" applyAlignment="0"/>
    <xf numFmtId="167" fontId="3" fillId="0" borderId="0" applyFill="0" applyBorder="0" applyAlignment="0"/>
    <xf numFmtId="180" fontId="38" fillId="0" borderId="0" applyFill="0" applyBorder="0" applyAlignment="0"/>
    <xf numFmtId="189" fontId="3" fillId="0" borderId="0" applyFill="0" applyBorder="0" applyAlignment="0"/>
    <xf numFmtId="190" fontId="3" fillId="0" borderId="0" applyFill="0" applyBorder="0" applyAlignment="0"/>
    <xf numFmtId="191" fontId="3" fillId="0" borderId="0" applyFill="0" applyBorder="0" applyAlignment="0"/>
    <xf numFmtId="182" fontId="3" fillId="0" borderId="0" applyFill="0" applyBorder="0" applyAlignment="0"/>
    <xf numFmtId="167" fontId="3" fillId="0" borderId="0" applyFill="0" applyBorder="0" applyAlignment="0"/>
    <xf numFmtId="202" fontId="3" fillId="0" borderId="0" applyFont="0" applyFill="0" applyBorder="0" applyAlignment="0" applyProtection="0"/>
    <xf numFmtId="203"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4" fontId="3" fillId="0" borderId="0" applyFont="0" applyFill="0" applyBorder="0" applyAlignment="0" applyProtection="0"/>
    <xf numFmtId="205"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6" fontId="16" fillId="0" borderId="7"/>
    <xf numFmtId="37" fontId="40" fillId="0" borderId="0"/>
    <xf numFmtId="207" fontId="22" fillId="0" borderId="0"/>
    <xf numFmtId="207" fontId="1" fillId="0" borderId="0"/>
    <xf numFmtId="208" fontId="3" fillId="0" borderId="0"/>
    <xf numFmtId="209"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10" fontId="3" fillId="0" borderId="0"/>
    <xf numFmtId="211" fontId="3" fillId="0" borderId="0"/>
    <xf numFmtId="39" fontId="3" fillId="0" borderId="0"/>
    <xf numFmtId="39" fontId="3" fillId="0" borderId="0"/>
    <xf numFmtId="212" fontId="3" fillId="0" borderId="0"/>
    <xf numFmtId="213" fontId="3" fillId="0" borderId="0"/>
    <xf numFmtId="214" fontId="3" fillId="0" borderId="0"/>
    <xf numFmtId="215" fontId="3" fillId="0" borderId="0"/>
    <xf numFmtId="216" fontId="3" fillId="0" borderId="0"/>
    <xf numFmtId="217" fontId="3" fillId="0" borderId="0"/>
    <xf numFmtId="218" fontId="3" fillId="0" borderId="0"/>
    <xf numFmtId="219" fontId="39" fillId="0" borderId="0"/>
    <xf numFmtId="220" fontId="28" fillId="0" borderId="0">
      <protection hidden="1"/>
    </xf>
    <xf numFmtId="187" fontId="3" fillId="0" borderId="0" applyFont="0" applyFill="0" applyBorder="0" applyAlignment="0" applyProtection="0"/>
    <xf numFmtId="188" fontId="3" fillId="0" borderId="0" applyFont="0" applyFill="0" applyBorder="0" applyAlignment="0" applyProtection="0"/>
    <xf numFmtId="208" fontId="3" fillId="0" borderId="0" applyFont="0" applyFill="0" applyBorder="0" applyAlignment="0" applyProtection="0"/>
    <xf numFmtId="209"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6" fontId="16" fillId="0" borderId="0"/>
    <xf numFmtId="0" fontId="46" fillId="8" borderId="20" applyNumberFormat="0" applyFont="0" applyFill="0" applyAlignment="0">
      <alignment horizontal="center" vertical="center"/>
    </xf>
    <xf numFmtId="180" fontId="47" fillId="0" borderId="0" applyFill="0" applyBorder="0" applyAlignment="0"/>
    <xf numFmtId="189" fontId="3" fillId="0" borderId="0" applyFill="0" applyBorder="0" applyAlignment="0"/>
    <xf numFmtId="182" fontId="3" fillId="0" borderId="0" applyFill="0" applyBorder="0" applyAlignment="0"/>
    <xf numFmtId="167" fontId="3" fillId="0" borderId="0" applyFill="0" applyBorder="0" applyAlignment="0"/>
    <xf numFmtId="180" fontId="47" fillId="0" borderId="0" applyFill="0" applyBorder="0" applyAlignment="0"/>
    <xf numFmtId="189" fontId="3" fillId="0" borderId="0" applyFill="0" applyBorder="0" applyAlignment="0"/>
    <xf numFmtId="190" fontId="3" fillId="0" borderId="0" applyFill="0" applyBorder="0" applyAlignment="0"/>
    <xf numFmtId="191" fontId="3" fillId="0" borderId="0" applyFill="0" applyBorder="0" applyAlignment="0"/>
    <xf numFmtId="182" fontId="3" fillId="0" borderId="0" applyFill="0" applyBorder="0" applyAlignment="0"/>
    <xf numFmtId="167"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21" fontId="3" fillId="0" borderId="0" applyFill="0" applyBorder="0" applyAlignment="0"/>
    <xf numFmtId="222" fontId="3" fillId="0" borderId="0" applyFill="0" applyBorder="0" applyAlignment="0"/>
    <xf numFmtId="223" fontId="3" fillId="0" borderId="0" applyFill="0" applyBorder="0" applyAlignment="0"/>
    <xf numFmtId="224"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165"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80" fillId="11" borderId="0" applyNumberFormat="0" applyBorder="0" applyAlignment="0" applyProtection="0"/>
  </cellStyleXfs>
  <cellXfs count="298">
    <xf numFmtId="0" fontId="0" fillId="0" borderId="0" xfId="0"/>
    <xf numFmtId="168" fontId="0" fillId="0" borderId="0" xfId="1" applyNumberFormat="1" applyFont="1"/>
    <xf numFmtId="169" fontId="0" fillId="0" borderId="0" xfId="2" applyNumberFormat="1" applyFont="1"/>
    <xf numFmtId="167"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7" fontId="6" fillId="0" borderId="0" xfId="1" quotePrefix="1" applyNumberFormat="1" applyFont="1" applyAlignment="1">
      <alignment horizontal="left"/>
    </xf>
    <xf numFmtId="167" fontId="6" fillId="0" borderId="0" xfId="1" quotePrefix="1" applyNumberFormat="1" applyFont="1" applyAlignment="1">
      <alignment horizontal="right"/>
    </xf>
    <xf numFmtId="167"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8" fontId="4" fillId="0" borderId="0" xfId="1" applyNumberFormat="1" applyFont="1" applyAlignment="1">
      <alignment horizontal="right"/>
    </xf>
    <xf numFmtId="20" fontId="4" fillId="0" borderId="0" xfId="1" applyNumberFormat="1" applyFont="1" applyAlignment="1">
      <alignment horizontal="right"/>
    </xf>
    <xf numFmtId="9" fontId="4" fillId="0" borderId="0" xfId="2" applyFont="1" applyAlignment="1">
      <alignment horizontal="right"/>
    </xf>
    <xf numFmtId="43" fontId="4" fillId="0" borderId="0" xfId="1" applyFont="1"/>
    <xf numFmtId="0" fontId="4" fillId="0" borderId="0" xfId="0" applyFont="1" applyAlignment="1">
      <alignment horizontal="left"/>
    </xf>
    <xf numFmtId="0" fontId="55" fillId="0" borderId="0" xfId="0" applyFont="1"/>
    <xf numFmtId="9" fontId="4" fillId="0" borderId="5" xfId="2" applyFont="1" applyBorder="1" applyAlignment="1">
      <alignment horizontal="right"/>
    </xf>
    <xf numFmtId="168" fontId="4" fillId="0" borderId="31" xfId="1" applyNumberFormat="1" applyFont="1" applyBorder="1" applyAlignment="1">
      <alignment horizontal="right"/>
    </xf>
    <xf numFmtId="167" fontId="54" fillId="3" borderId="0" xfId="1" quotePrefix="1" applyNumberFormat="1" applyFont="1" applyFill="1" applyAlignment="1">
      <alignment horizontal="right"/>
    </xf>
    <xf numFmtId="167" fontId="57" fillId="2" borderId="2" xfId="1" quotePrefix="1" applyNumberFormat="1" applyFont="1" applyFill="1" applyBorder="1" applyAlignment="1">
      <alignment horizontal="right"/>
    </xf>
    <xf numFmtId="167" fontId="58" fillId="2" borderId="0" xfId="1" quotePrefix="1" applyNumberFormat="1" applyFont="1" applyFill="1" applyAlignment="1">
      <alignment horizontal="right"/>
    </xf>
    <xf numFmtId="167" fontId="2" fillId="3" borderId="2" xfId="1" quotePrefix="1" applyNumberFormat="1" applyFont="1" applyFill="1" applyBorder="1" applyAlignment="1">
      <alignment horizontal="right"/>
    </xf>
    <xf numFmtId="168" fontId="61" fillId="0" borderId="0" xfId="1" applyNumberFormat="1" applyFont="1" applyAlignment="1">
      <alignment horizontal="right"/>
    </xf>
    <xf numFmtId="168" fontId="61" fillId="0" borderId="5" xfId="1" applyNumberFormat="1" applyFont="1" applyBorder="1" applyAlignment="1">
      <alignment horizontal="right"/>
    </xf>
    <xf numFmtId="0" fontId="4" fillId="0" borderId="4" xfId="0" applyFont="1" applyBorder="1"/>
    <xf numFmtId="0" fontId="55" fillId="0" borderId="4" xfId="0" applyFont="1" applyBorder="1"/>
    <xf numFmtId="168" fontId="63" fillId="0" borderId="0" xfId="1" applyNumberFormat="1" applyFont="1" applyAlignment="1">
      <alignment horizontal="right"/>
    </xf>
    <xf numFmtId="168" fontId="63" fillId="0" borderId="5" xfId="1" applyNumberFormat="1" applyFont="1" applyBorder="1" applyAlignment="1">
      <alignment horizontal="right"/>
    </xf>
    <xf numFmtId="168" fontId="62" fillId="0" borderId="0" xfId="1" applyNumberFormat="1" applyFont="1" applyAlignment="1">
      <alignment horizontal="right"/>
    </xf>
    <xf numFmtId="168"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3" xfId="0" applyFont="1" applyBorder="1" applyAlignment="1">
      <alignment horizontal="left" indent="1"/>
    </xf>
    <xf numFmtId="168" fontId="61" fillId="0" borderId="5" xfId="1" quotePrefix="1" applyNumberFormat="1" applyFont="1" applyBorder="1" applyAlignment="1">
      <alignment horizontal="right"/>
    </xf>
    <xf numFmtId="168" fontId="65" fillId="0" borderId="0" xfId="2" applyNumberFormat="1" applyFont="1" applyAlignment="1">
      <alignment horizontal="right"/>
    </xf>
    <xf numFmtId="169" fontId="61" fillId="0" borderId="0" xfId="2" applyNumberFormat="1" applyFont="1" applyAlignment="1">
      <alignment horizontal="right"/>
    </xf>
    <xf numFmtId="9" fontId="61" fillId="0" borderId="5" xfId="2" applyFont="1" applyBorder="1" applyAlignment="1">
      <alignment horizontal="right"/>
    </xf>
    <xf numFmtId="169" fontId="61" fillId="0" borderId="5" xfId="2" applyNumberFormat="1" applyFont="1" applyBorder="1" applyAlignment="1">
      <alignment horizontal="right"/>
    </xf>
    <xf numFmtId="9" fontId="61" fillId="0" borderId="0" xfId="2" applyFont="1" applyAlignment="1">
      <alignment horizontal="right"/>
    </xf>
    <xf numFmtId="168" fontId="63" fillId="9" borderId="0" xfId="1" applyNumberFormat="1" applyFont="1" applyFill="1" applyAlignment="1">
      <alignment horizontal="right"/>
    </xf>
    <xf numFmtId="9" fontId="61" fillId="0" borderId="5" xfId="2" quotePrefix="1" applyFont="1" applyBorder="1" applyAlignment="1">
      <alignment horizontal="right"/>
    </xf>
    <xf numFmtId="168" fontId="61" fillId="9" borderId="0" xfId="1" applyNumberFormat="1" applyFont="1" applyFill="1" applyAlignment="1">
      <alignment horizontal="right"/>
    </xf>
    <xf numFmtId="169" fontId="61" fillId="9"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7" fontId="61" fillId="0" borderId="5" xfId="1" applyNumberFormat="1" applyFont="1" applyBorder="1" applyAlignment="1">
      <alignment horizontal="right"/>
    </xf>
    <xf numFmtId="167" fontId="61" fillId="0" borderId="7" xfId="1" applyNumberFormat="1" applyFont="1" applyBorder="1" applyAlignment="1">
      <alignment horizontal="right"/>
    </xf>
    <xf numFmtId="168" fontId="61" fillId="0" borderId="31"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169" fontId="61" fillId="0" borderId="5" xfId="2" quotePrefix="1" applyNumberFormat="1" applyFont="1" applyBorder="1" applyAlignment="1">
      <alignment horizontal="right"/>
    </xf>
    <xf numFmtId="167" fontId="57" fillId="2" borderId="33" xfId="1" quotePrefix="1" applyNumberFormat="1" applyFont="1" applyFill="1" applyBorder="1" applyAlignment="1">
      <alignment horizontal="right"/>
    </xf>
    <xf numFmtId="167" fontId="58" fillId="2" borderId="5" xfId="1" quotePrefix="1" applyNumberFormat="1" applyFont="1" applyFill="1" applyBorder="1" applyAlignment="1">
      <alignment horizontal="right"/>
    </xf>
    <xf numFmtId="167" fontId="2" fillId="3" borderId="33" xfId="1" quotePrefix="1" applyNumberFormat="1" applyFont="1" applyFill="1" applyBorder="1" applyAlignment="1">
      <alignment horizontal="right"/>
    </xf>
    <xf numFmtId="167" fontId="54" fillId="3" borderId="5" xfId="1" quotePrefix="1" applyNumberFormat="1" applyFont="1" applyFill="1" applyBorder="1" applyAlignment="1">
      <alignment horizontal="right"/>
    </xf>
    <xf numFmtId="169" fontId="4" fillId="0" borderId="0" xfId="2" applyNumberFormat="1" applyFont="1" applyAlignment="1">
      <alignment horizontal="right"/>
    </xf>
    <xf numFmtId="5" fontId="64" fillId="0" borderId="4" xfId="1" applyNumberFormat="1" applyFont="1" applyBorder="1" applyAlignment="1">
      <alignment horizontal="right"/>
    </xf>
    <xf numFmtId="170" fontId="61" fillId="0" borderId="0" xfId="1" applyNumberFormat="1" applyFont="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8" fontId="61" fillId="0" borderId="0" xfId="1" applyNumberFormat="1" applyFont="1" applyAlignment="1">
      <alignment horizontal="left"/>
    </xf>
    <xf numFmtId="43" fontId="61" fillId="0" borderId="0" xfId="1" applyFont="1" applyAlignment="1">
      <alignment horizontal="left"/>
    </xf>
    <xf numFmtId="9" fontId="61" fillId="0" borderId="0" xfId="1" applyNumberFormat="1" applyFont="1" applyAlignment="1">
      <alignment horizontal="right"/>
    </xf>
    <xf numFmtId="0" fontId="2" fillId="0" borderId="0" xfId="0" applyFont="1"/>
    <xf numFmtId="10" fontId="0" fillId="0" borderId="0" xfId="2" applyNumberFormat="1" applyFont="1"/>
    <xf numFmtId="9" fontId="61" fillId="0" borderId="0" xfId="1" applyNumberFormat="1" applyFont="1" applyAlignment="1">
      <alignment horizontal="left"/>
    </xf>
    <xf numFmtId="10" fontId="61" fillId="0" borderId="0" xfId="1" applyNumberFormat="1" applyFont="1" applyAlignment="1">
      <alignment horizontal="right"/>
    </xf>
    <xf numFmtId="167" fontId="61" fillId="0" borderId="8" xfId="1" applyNumberFormat="1" applyFont="1" applyBorder="1" applyAlignment="1">
      <alignment horizontal="right"/>
    </xf>
    <xf numFmtId="9" fontId="4" fillId="0" borderId="0" xfId="1" applyNumberFormat="1" applyFont="1"/>
    <xf numFmtId="9" fontId="4" fillId="0" borderId="0" xfId="1" applyNumberFormat="1" applyFont="1" applyAlignment="1">
      <alignment horizontal="right"/>
    </xf>
    <xf numFmtId="0" fontId="68" fillId="0" borderId="3" xfId="0" applyFont="1" applyBorder="1" applyAlignment="1">
      <alignment horizontal="left"/>
    </xf>
    <xf numFmtId="168" fontId="68" fillId="0" borderId="0" xfId="1" applyNumberFormat="1" applyFont="1" applyAlignment="1">
      <alignment horizontal="right"/>
    </xf>
    <xf numFmtId="168" fontId="68" fillId="0" borderId="5" xfId="1" quotePrefix="1" applyNumberFormat="1" applyFont="1" applyBorder="1" applyAlignment="1">
      <alignment horizontal="right"/>
    </xf>
    <xf numFmtId="0" fontId="69" fillId="0" borderId="0" xfId="0" applyFont="1"/>
    <xf numFmtId="0" fontId="70" fillId="0" borderId="4" xfId="0" applyFont="1" applyBorder="1" applyAlignment="1">
      <alignment horizontal="left"/>
    </xf>
    <xf numFmtId="168" fontId="54" fillId="0" borderId="0" xfId="1" applyNumberFormat="1" applyFont="1" applyAlignment="1">
      <alignment horizontal="right"/>
    </xf>
    <xf numFmtId="168" fontId="54" fillId="0" borderId="5" xfId="1" applyNumberFormat="1" applyFont="1" applyBorder="1" applyAlignment="1">
      <alignment horizontal="right"/>
    </xf>
    <xf numFmtId="0" fontId="71" fillId="0" borderId="33" xfId="0" applyFont="1" applyBorder="1" applyAlignment="1">
      <alignment vertical="center"/>
    </xf>
    <xf numFmtId="0" fontId="0" fillId="0" borderId="0" xfId="0" applyAlignment="1">
      <alignment horizontal="left" indent="1"/>
    </xf>
    <xf numFmtId="0" fontId="53" fillId="0" borderId="0" xfId="329" applyAlignment="1">
      <alignment horizontal="left" indent="1"/>
    </xf>
    <xf numFmtId="0" fontId="0" fillId="0" borderId="5" xfId="0" applyBorder="1" applyAlignment="1">
      <alignment horizontal="left" vertical="top" wrapText="1"/>
    </xf>
    <xf numFmtId="0" fontId="0" fillId="0" borderId="36" xfId="0" applyBorder="1" applyAlignment="1">
      <alignment horizontal="left" vertical="top" wrapText="1"/>
    </xf>
    <xf numFmtId="0" fontId="0" fillId="0" borderId="36" xfId="0" applyBorder="1" applyAlignment="1">
      <alignment horizontal="left" vertical="top" wrapText="1" indent="2"/>
    </xf>
    <xf numFmtId="0" fontId="0" fillId="0" borderId="5" xfId="0" applyBorder="1" applyAlignment="1">
      <alignment horizontal="left" vertical="top" wrapText="1" indent="2"/>
    </xf>
    <xf numFmtId="0" fontId="72" fillId="0" borderId="36" xfId="0" applyFont="1" applyBorder="1" applyAlignment="1">
      <alignment horizontal="left" vertical="top" wrapText="1"/>
    </xf>
    <xf numFmtId="0" fontId="2" fillId="0" borderId="5" xfId="0" applyFont="1" applyBorder="1" applyAlignment="1">
      <alignment horizontal="left" vertical="top" wrapText="1" indent="2"/>
    </xf>
    <xf numFmtId="0" fontId="0" fillId="0" borderId="32" xfId="0" applyBorder="1" applyAlignment="1">
      <alignment horizontal="left" vertical="top" wrapText="1"/>
    </xf>
    <xf numFmtId="0" fontId="72" fillId="0" borderId="32" xfId="0" applyFont="1" applyBorder="1" applyAlignment="1">
      <alignment horizontal="left" vertical="top" wrapText="1"/>
    </xf>
    <xf numFmtId="0" fontId="73" fillId="0" borderId="3" xfId="0" applyFont="1" applyBorder="1" applyAlignment="1">
      <alignment horizontal="left"/>
    </xf>
    <xf numFmtId="0" fontId="62" fillId="0" borderId="3" xfId="0" applyFont="1" applyBorder="1" applyAlignment="1">
      <alignment horizontal="left" indent="2"/>
    </xf>
    <xf numFmtId="0" fontId="62" fillId="0" borderId="3" xfId="0" applyFont="1" applyBorder="1" applyAlignment="1">
      <alignment horizontal="left" indent="4"/>
    </xf>
    <xf numFmtId="168" fontId="62" fillId="0" borderId="5" xfId="1" quotePrefix="1" applyNumberFormat="1" applyFont="1" applyBorder="1" applyAlignment="1">
      <alignment horizontal="right"/>
    </xf>
    <xf numFmtId="168" fontId="63" fillId="0" borderId="5" xfId="1" quotePrefix="1" applyNumberFormat="1" applyFont="1" applyBorder="1" applyAlignment="1">
      <alignment horizontal="right"/>
    </xf>
    <xf numFmtId="0" fontId="61" fillId="0" borderId="13" xfId="0" applyFont="1" applyBorder="1" applyAlignment="1">
      <alignment horizontal="left"/>
    </xf>
    <xf numFmtId="168" fontId="61" fillId="0" borderId="29" xfId="1" quotePrefix="1" applyNumberFormat="1" applyFont="1" applyBorder="1" applyAlignment="1">
      <alignment horizontal="right"/>
    </xf>
    <xf numFmtId="169" fontId="61" fillId="0" borderId="30" xfId="2" applyNumberFormat="1" applyFont="1" applyBorder="1" applyAlignment="1">
      <alignment horizontal="right"/>
    </xf>
    <xf numFmtId="168" fontId="61" fillId="0" borderId="32" xfId="1" quotePrefix="1" applyNumberFormat="1" applyFont="1" applyBorder="1" applyAlignment="1">
      <alignment horizontal="right"/>
    </xf>
    <xf numFmtId="169" fontId="61" fillId="0" borderId="29" xfId="2" quotePrefix="1" applyNumberFormat="1" applyFont="1" applyBorder="1" applyAlignment="1">
      <alignment horizontal="right"/>
    </xf>
    <xf numFmtId="0" fontId="68" fillId="0" borderId="39" xfId="0" applyFont="1" applyBorder="1" applyAlignment="1">
      <alignment horizontal="left" indent="1"/>
    </xf>
    <xf numFmtId="168" fontId="68" fillId="0" borderId="38" xfId="1" applyNumberFormat="1" applyFont="1" applyBorder="1" applyAlignment="1">
      <alignment horizontal="right"/>
    </xf>
    <xf numFmtId="168" fontId="68" fillId="0" borderId="36" xfId="1" applyNumberFormat="1" applyFont="1" applyBorder="1" applyAlignment="1">
      <alignment horizontal="right"/>
    </xf>
    <xf numFmtId="0" fontId="68" fillId="0" borderId="37" xfId="0" applyFont="1" applyBorder="1" applyAlignment="1">
      <alignment horizontal="left" indent="3"/>
    </xf>
    <xf numFmtId="43" fontId="67" fillId="0" borderId="0" xfId="1" applyFont="1" applyAlignment="1">
      <alignment horizontal="right"/>
    </xf>
    <xf numFmtId="0" fontId="53" fillId="0" borderId="8" xfId="329" applyBorder="1" applyAlignment="1">
      <alignment horizontal="left" vertical="top" wrapText="1" indent="4"/>
    </xf>
    <xf numFmtId="0" fontId="2" fillId="0" borderId="36" xfId="0" applyFont="1" applyBorder="1" applyAlignment="1">
      <alignment horizontal="left" vertical="top" wrapText="1"/>
    </xf>
    <xf numFmtId="0" fontId="74" fillId="0" borderId="0" xfId="0" applyFont="1"/>
    <xf numFmtId="0" fontId="68" fillId="0" borderId="23" xfId="0" applyFont="1" applyBorder="1" applyAlignment="1">
      <alignment horizontal="left" indent="1"/>
    </xf>
    <xf numFmtId="0" fontId="68" fillId="0" borderId="24" xfId="0" applyFont="1" applyBorder="1" applyAlignment="1">
      <alignment horizontal="left" indent="1"/>
    </xf>
    <xf numFmtId="43" fontId="68" fillId="0" borderId="35" xfId="1" applyFont="1" applyBorder="1" applyAlignment="1">
      <alignment horizontal="right"/>
    </xf>
    <xf numFmtId="43" fontId="68" fillId="0" borderId="34" xfId="1" applyFont="1" applyBorder="1" applyAlignment="1">
      <alignment horizontal="right"/>
    </xf>
    <xf numFmtId="0" fontId="61" fillId="0" borderId="12" xfId="0" applyFont="1" applyBorder="1" applyAlignment="1">
      <alignment horizontal="left" indent="1"/>
    </xf>
    <xf numFmtId="5" fontId="63" fillId="0" borderId="0" xfId="1" applyNumberFormat="1" applyFont="1" applyAlignment="1">
      <alignment horizontal="right"/>
    </xf>
    <xf numFmtId="5" fontId="63" fillId="9" borderId="0" xfId="1" applyNumberFormat="1" applyFont="1" applyFill="1" applyAlignment="1">
      <alignment horizontal="right"/>
    </xf>
    <xf numFmtId="9" fontId="61" fillId="9" borderId="0" xfId="2" applyFont="1" applyFill="1" applyAlignment="1">
      <alignment horizontal="right"/>
    </xf>
    <xf numFmtId="0" fontId="61" fillId="0" borderId="3" xfId="0" applyFont="1" applyBorder="1" applyAlignment="1">
      <alignment horizontal="left" indent="3"/>
    </xf>
    <xf numFmtId="0" fontId="61" fillId="0" borderId="12" xfId="0" applyFont="1" applyBorder="1" applyAlignment="1">
      <alignment horizontal="left" indent="2"/>
    </xf>
    <xf numFmtId="9" fontId="61" fillId="0" borderId="30" xfId="2" applyFont="1" applyBorder="1" applyAlignment="1">
      <alignment horizontal="right"/>
    </xf>
    <xf numFmtId="9" fontId="61" fillId="0" borderId="29" xfId="2" quotePrefix="1" applyFont="1" applyBorder="1" applyAlignment="1">
      <alignment horizontal="right"/>
    </xf>
    <xf numFmtId="169" fontId="61" fillId="0" borderId="3" xfId="2" applyNumberFormat="1" applyFont="1" applyBorder="1" applyAlignment="1">
      <alignment horizontal="right"/>
    </xf>
    <xf numFmtId="169" fontId="61" fillId="9" borderId="30" xfId="2" applyNumberFormat="1" applyFont="1" applyFill="1" applyBorder="1" applyAlignment="1">
      <alignment horizontal="right"/>
    </xf>
    <xf numFmtId="168" fontId="63" fillId="0" borderId="30" xfId="1" applyNumberFormat="1" applyFont="1" applyBorder="1" applyAlignment="1">
      <alignment horizontal="right"/>
    </xf>
    <xf numFmtId="168" fontId="63" fillId="0" borderId="29" xfId="1" quotePrefix="1" applyNumberFormat="1" applyFont="1" applyBorder="1" applyAlignment="1">
      <alignment horizontal="right"/>
    </xf>
    <xf numFmtId="0" fontId="68" fillId="0" borderId="37" xfId="0" applyFont="1" applyBorder="1" applyAlignment="1">
      <alignment horizontal="left" indent="2"/>
    </xf>
    <xf numFmtId="10" fontId="61" fillId="0" borderId="0" xfId="2" applyNumberFormat="1" applyFont="1" applyAlignment="1">
      <alignment horizontal="right"/>
    </xf>
    <xf numFmtId="0" fontId="0" fillId="0" borderId="5" xfId="0" applyFill="1" applyBorder="1" applyAlignment="1">
      <alignment horizontal="left" vertical="top" wrapText="1"/>
    </xf>
    <xf numFmtId="167" fontId="4" fillId="0" borderId="0" xfId="1" applyNumberFormat="1" applyFont="1" applyAlignment="1">
      <alignment horizontal="left"/>
    </xf>
    <xf numFmtId="0" fontId="4" fillId="0" borderId="0" xfId="0" applyFont="1" applyFill="1"/>
    <xf numFmtId="0" fontId="61" fillId="0" borderId="3" xfId="0" applyFont="1" applyFill="1" applyBorder="1" applyAlignment="1">
      <alignment horizontal="left"/>
    </xf>
    <xf numFmtId="0" fontId="61" fillId="0" borderId="4" xfId="0" applyFont="1" applyFill="1" applyBorder="1" applyAlignment="1">
      <alignment horizontal="left"/>
    </xf>
    <xf numFmtId="168" fontId="61" fillId="0" borderId="0" xfId="1" applyNumberFormat="1" applyFont="1" applyFill="1" applyAlignment="1">
      <alignment horizontal="right"/>
    </xf>
    <xf numFmtId="168" fontId="61" fillId="0" borderId="5" xfId="1" quotePrefix="1" applyNumberFormat="1" applyFont="1" applyFill="1" applyBorder="1" applyAlignment="1">
      <alignment horizontal="right"/>
    </xf>
    <xf numFmtId="168" fontId="62" fillId="0" borderId="0" xfId="1" applyNumberFormat="1" applyFont="1" applyFill="1" applyAlignment="1">
      <alignment horizontal="right"/>
    </xf>
    <xf numFmtId="43" fontId="63" fillId="0" borderId="5" xfId="1" quotePrefix="1" applyNumberFormat="1" applyFont="1" applyBorder="1" applyAlignment="1">
      <alignment horizontal="right"/>
    </xf>
    <xf numFmtId="168" fontId="62" fillId="0" borderId="5" xfId="1" quotePrefix="1" applyNumberFormat="1" applyFont="1" applyFill="1" applyBorder="1" applyAlignment="1">
      <alignment horizontal="right"/>
    </xf>
    <xf numFmtId="168" fontId="63" fillId="0" borderId="0" xfId="1" applyNumberFormat="1" applyFont="1" applyFill="1" applyAlignment="1">
      <alignment horizontal="right"/>
    </xf>
    <xf numFmtId="43" fontId="68" fillId="0" borderId="34" xfId="1" applyFont="1" applyFill="1" applyBorder="1" applyAlignment="1">
      <alignment horizontal="right"/>
    </xf>
    <xf numFmtId="0" fontId="4" fillId="0" borderId="0" xfId="0" applyFont="1" applyFill="1" applyAlignment="1">
      <alignment horizontal="right"/>
    </xf>
    <xf numFmtId="167" fontId="4" fillId="0" borderId="0" xfId="1" applyNumberFormat="1" applyFont="1" applyFill="1" applyAlignment="1">
      <alignment horizontal="right"/>
    </xf>
    <xf numFmtId="43" fontId="4" fillId="0" borderId="0" xfId="1" applyFont="1" applyFill="1" applyAlignment="1">
      <alignment horizontal="right"/>
    </xf>
    <xf numFmtId="17" fontId="61" fillId="0" borderId="0" xfId="1" applyNumberFormat="1" applyFont="1" applyFill="1" applyAlignment="1">
      <alignment horizontal="right" wrapText="1"/>
    </xf>
    <xf numFmtId="168" fontId="61" fillId="0" borderId="5" xfId="1" applyNumberFormat="1" applyFont="1" applyFill="1" applyBorder="1" applyAlignment="1">
      <alignment horizontal="right"/>
    </xf>
    <xf numFmtId="0" fontId="62" fillId="0" borderId="3" xfId="0" applyFont="1" applyBorder="1" applyAlignment="1">
      <alignment horizontal="left" indent="2"/>
    </xf>
    <xf numFmtId="0" fontId="61" fillId="0" borderId="3" xfId="0" applyFont="1" applyBorder="1" applyAlignment="1">
      <alignment horizontal="left"/>
    </xf>
    <xf numFmtId="0" fontId="61" fillId="0" borderId="4" xfId="0" applyFont="1" applyBorder="1" applyAlignment="1">
      <alignment horizontal="left"/>
    </xf>
    <xf numFmtId="0" fontId="61" fillId="0" borderId="26" xfId="0" applyFont="1" applyBorder="1" applyAlignment="1">
      <alignment horizontal="left"/>
    </xf>
    <xf numFmtId="0" fontId="62" fillId="0" borderId="3"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0" fontId="61" fillId="0" borderId="0" xfId="0" applyFont="1" applyFill="1"/>
    <xf numFmtId="9" fontId="61" fillId="0" borderId="0" xfId="2" applyFont="1" applyFill="1" applyAlignment="1">
      <alignment horizontal="right"/>
    </xf>
    <xf numFmtId="0" fontId="55" fillId="0" borderId="0" xfId="0" applyFont="1" applyFill="1"/>
    <xf numFmtId="0" fontId="69" fillId="0" borderId="0" xfId="0" applyFont="1" applyFill="1"/>
    <xf numFmtId="43" fontId="61" fillId="0" borderId="0" xfId="1" applyNumberFormat="1" applyFont="1" applyAlignment="1">
      <alignment horizontal="right"/>
    </xf>
    <xf numFmtId="168" fontId="68" fillId="0" borderId="38" xfId="1" applyNumberFormat="1" applyFont="1" applyFill="1" applyBorder="1" applyAlignment="1">
      <alignment horizontal="right"/>
    </xf>
    <xf numFmtId="168" fontId="54" fillId="0" borderId="0" xfId="1" applyNumberFormat="1" applyFont="1" applyFill="1" applyAlignment="1">
      <alignment horizontal="right"/>
    </xf>
    <xf numFmtId="43" fontId="62" fillId="0" borderId="0" xfId="1" applyFont="1" applyFill="1" applyAlignment="1">
      <alignment horizontal="right"/>
    </xf>
    <xf numFmtId="43" fontId="68" fillId="0" borderId="35" xfId="1" applyNumberFormat="1" applyFont="1" applyFill="1" applyBorder="1" applyAlignment="1">
      <alignment horizontal="right"/>
    </xf>
    <xf numFmtId="43" fontId="68" fillId="0" borderId="35" xfId="1" applyFont="1" applyFill="1" applyBorder="1" applyAlignment="1">
      <alignment horizontal="right"/>
    </xf>
    <xf numFmtId="168" fontId="62" fillId="0" borderId="5" xfId="1" applyNumberFormat="1" applyFont="1" applyFill="1" applyBorder="1" applyAlignment="1">
      <alignment horizontal="right"/>
    </xf>
    <xf numFmtId="168" fontId="63" fillId="0" borderId="5" xfId="1" applyNumberFormat="1" applyFont="1" applyFill="1" applyBorder="1" applyAlignment="1">
      <alignment horizontal="right"/>
    </xf>
    <xf numFmtId="7" fontId="61" fillId="0" borderId="0" xfId="1" applyNumberFormat="1" applyFont="1" applyFill="1" applyAlignment="1">
      <alignment horizontal="right"/>
    </xf>
    <xf numFmtId="168" fontId="61" fillId="0" borderId="0" xfId="1" applyNumberFormat="1" applyFont="1" applyBorder="1" applyAlignment="1">
      <alignment horizontal="right"/>
    </xf>
    <xf numFmtId="168" fontId="61" fillId="9" borderId="0" xfId="1" applyNumberFormat="1" applyFont="1" applyFill="1" applyBorder="1" applyAlignment="1">
      <alignment horizontal="right"/>
    </xf>
    <xf numFmtId="168" fontId="62" fillId="0" borderId="0" xfId="1" applyNumberFormat="1" applyFont="1" applyBorder="1" applyAlignment="1">
      <alignment horizontal="right"/>
    </xf>
    <xf numFmtId="168" fontId="62" fillId="0" borderId="0" xfId="1" applyNumberFormat="1" applyFont="1" applyFill="1" applyBorder="1" applyAlignment="1">
      <alignment horizontal="right"/>
    </xf>
    <xf numFmtId="168" fontId="63" fillId="0" borderId="5" xfId="1" quotePrefix="1" applyNumberFormat="1" applyFont="1" applyFill="1" applyBorder="1" applyAlignment="1">
      <alignment horizontal="right"/>
    </xf>
    <xf numFmtId="0" fontId="77" fillId="0" borderId="3" xfId="0" applyFont="1" applyBorder="1" applyAlignment="1">
      <alignment horizontal="left"/>
    </xf>
    <xf numFmtId="0" fontId="77" fillId="0" borderId="25" xfId="0" applyFont="1" applyBorder="1" applyAlignment="1">
      <alignment horizontal="left"/>
    </xf>
    <xf numFmtId="0" fontId="62" fillId="0" borderId="3" xfId="0" applyFont="1" applyBorder="1" applyAlignment="1">
      <alignment horizontal="right" indent="1"/>
    </xf>
    <xf numFmtId="168" fontId="54" fillId="0" borderId="0" xfId="1" applyNumberFormat="1" applyFont="1" applyBorder="1" applyAlignment="1">
      <alignment horizontal="right"/>
    </xf>
    <xf numFmtId="168" fontId="54" fillId="0" borderId="5" xfId="1" quotePrefix="1" applyNumberFormat="1" applyFont="1" applyBorder="1" applyAlignment="1">
      <alignment horizontal="right"/>
    </xf>
    <xf numFmtId="168" fontId="54" fillId="0" borderId="0" xfId="1" applyNumberFormat="1" applyFont="1" applyFill="1" applyBorder="1" applyAlignment="1">
      <alignment horizontal="right"/>
    </xf>
    <xf numFmtId="168" fontId="61" fillId="0" borderId="0" xfId="1" applyNumberFormat="1" applyFont="1" applyBorder="1" applyAlignment="1">
      <alignment horizontal="left"/>
    </xf>
    <xf numFmtId="0" fontId="62" fillId="0" borderId="12" xfId="0" applyFont="1" applyBorder="1" applyAlignment="1">
      <alignment horizontal="left" indent="2"/>
    </xf>
    <xf numFmtId="0" fontId="62" fillId="0" borderId="13" xfId="0" applyFont="1" applyBorder="1" applyAlignment="1">
      <alignment horizontal="left"/>
    </xf>
    <xf numFmtId="168" fontId="62" fillId="0" borderId="30" xfId="1" applyNumberFormat="1" applyFont="1" applyBorder="1" applyAlignment="1">
      <alignment horizontal="right"/>
    </xf>
    <xf numFmtId="168" fontId="62" fillId="0" borderId="29" xfId="1" quotePrefix="1" applyNumberFormat="1" applyFont="1" applyBorder="1" applyAlignment="1">
      <alignment horizontal="right"/>
    </xf>
    <xf numFmtId="168" fontId="62" fillId="0" borderId="30" xfId="1" applyNumberFormat="1" applyFont="1" applyFill="1" applyBorder="1" applyAlignment="1">
      <alignment horizontal="right"/>
    </xf>
    <xf numFmtId="5" fontId="63" fillId="0" borderId="0" xfId="1" applyNumberFormat="1" applyFont="1" applyBorder="1" applyAlignment="1">
      <alignment horizontal="right"/>
    </xf>
    <xf numFmtId="5" fontId="63" fillId="9" borderId="0" xfId="1" applyNumberFormat="1" applyFont="1" applyFill="1" applyBorder="1" applyAlignment="1">
      <alignment horizontal="right"/>
    </xf>
    <xf numFmtId="9" fontId="61" fillId="0" borderId="31" xfId="2" applyFont="1" applyBorder="1" applyAlignment="1">
      <alignment horizontal="right"/>
    </xf>
    <xf numFmtId="9" fontId="61" fillId="0" borderId="0" xfId="2" applyFont="1" applyBorder="1" applyAlignment="1">
      <alignment horizontal="right"/>
    </xf>
    <xf numFmtId="0" fontId="78" fillId="0" borderId="0" xfId="0" applyFont="1" applyFill="1"/>
    <xf numFmtId="0" fontId="73" fillId="0" borderId="4" xfId="0" applyFont="1" applyBorder="1" applyAlignment="1">
      <alignment horizontal="left"/>
    </xf>
    <xf numFmtId="168" fontId="73" fillId="0" borderId="0" xfId="1" applyNumberFormat="1" applyFont="1" applyAlignment="1">
      <alignment horizontal="right"/>
    </xf>
    <xf numFmtId="168" fontId="73" fillId="0" borderId="5" xfId="1" quotePrefix="1" applyNumberFormat="1" applyFont="1" applyBorder="1" applyAlignment="1">
      <alignment horizontal="right"/>
    </xf>
    <xf numFmtId="168" fontId="73" fillId="0" borderId="0" xfId="1" applyNumberFormat="1" applyFont="1" applyFill="1" applyAlignment="1">
      <alignment horizontal="right"/>
    </xf>
    <xf numFmtId="168" fontId="73" fillId="0" borderId="5" xfId="1" quotePrefix="1" applyNumberFormat="1" applyFont="1" applyFill="1" applyBorder="1" applyAlignment="1">
      <alignment horizontal="right"/>
    </xf>
    <xf numFmtId="0" fontId="78" fillId="0" borderId="0" xfId="0" applyFont="1"/>
    <xf numFmtId="168" fontId="54" fillId="0" borderId="5" xfId="1" quotePrefix="1" applyNumberFormat="1" applyFont="1" applyFill="1" applyBorder="1" applyAlignment="1">
      <alignment horizontal="right"/>
    </xf>
    <xf numFmtId="168" fontId="62" fillId="10" borderId="0" xfId="1" applyNumberFormat="1" applyFont="1" applyFill="1" applyAlignment="1">
      <alignment horizontal="right"/>
    </xf>
    <xf numFmtId="9" fontId="4" fillId="0" borderId="0" xfId="1" applyNumberFormat="1" applyFont="1" applyFill="1"/>
    <xf numFmtId="169" fontId="61" fillId="0" borderId="0" xfId="2" applyNumberFormat="1" applyFont="1" applyFill="1" applyBorder="1" applyAlignment="1">
      <alignment horizontal="right"/>
    </xf>
    <xf numFmtId="169" fontId="61" fillId="9" borderId="0" xfId="2" applyNumberFormat="1" applyFont="1" applyFill="1" applyBorder="1" applyAlignment="1">
      <alignment horizontal="right"/>
    </xf>
    <xf numFmtId="169" fontId="61" fillId="0" borderId="5" xfId="1" quotePrefix="1" applyNumberFormat="1" applyFont="1" applyBorder="1" applyAlignment="1">
      <alignment horizontal="right"/>
    </xf>
    <xf numFmtId="0" fontId="4" fillId="0" borderId="26" xfId="0" applyFont="1" applyBorder="1" applyAlignment="1">
      <alignment horizontal="left"/>
    </xf>
    <xf numFmtId="168" fontId="4" fillId="0" borderId="32" xfId="1" quotePrefix="1" applyNumberFormat="1" applyFont="1" applyBorder="1" applyAlignment="1">
      <alignment horizontal="right"/>
    </xf>
    <xf numFmtId="168" fontId="4" fillId="0" borderId="31" xfId="1" applyNumberFormat="1" applyFont="1" applyFill="1" applyBorder="1" applyAlignment="1">
      <alignment horizontal="right"/>
    </xf>
    <xf numFmtId="168" fontId="62" fillId="10" borderId="5" xfId="1" quotePrefix="1" applyNumberFormat="1" applyFont="1" applyFill="1" applyBorder="1" applyAlignment="1">
      <alignment horizontal="right"/>
    </xf>
    <xf numFmtId="43" fontId="65" fillId="0" borderId="0" xfId="1" applyNumberFormat="1" applyFont="1" applyAlignment="1">
      <alignment horizontal="right"/>
    </xf>
    <xf numFmtId="43" fontId="4" fillId="0" borderId="0" xfId="1" applyNumberFormat="1" applyFont="1" applyAlignment="1">
      <alignment horizontal="right"/>
    </xf>
    <xf numFmtId="169" fontId="4" fillId="0" borderId="0" xfId="2" applyNumberFormat="1" applyFont="1" applyAlignment="1">
      <alignment horizontal="left"/>
    </xf>
    <xf numFmtId="9" fontId="81" fillId="0" borderId="31" xfId="2" applyFont="1" applyFill="1" applyBorder="1" applyAlignment="1">
      <alignment horizontal="right"/>
    </xf>
    <xf numFmtId="225" fontId="4" fillId="0" borderId="0" xfId="1" applyNumberFormat="1" applyFont="1" applyAlignment="1">
      <alignment horizontal="right"/>
    </xf>
    <xf numFmtId="0" fontId="0" fillId="0" borderId="3" xfId="0" applyBorder="1"/>
    <xf numFmtId="226" fontId="0" fillId="0" borderId="4" xfId="2" applyNumberFormat="1" applyFont="1" applyBorder="1" applyAlignment="1">
      <alignment horizontal="right"/>
    </xf>
    <xf numFmtId="226" fontId="0" fillId="9" borderId="4" xfId="1" applyNumberFormat="1" applyFont="1" applyFill="1" applyBorder="1" applyAlignment="1">
      <alignment horizontal="right"/>
    </xf>
    <xf numFmtId="0" fontId="2" fillId="0" borderId="3" xfId="0" applyFont="1" applyBorder="1"/>
    <xf numFmtId="7" fontId="2" fillId="0" borderId="4" xfId="1" applyNumberFormat="1" applyFont="1" applyBorder="1" applyAlignment="1">
      <alignment horizontal="right"/>
    </xf>
    <xf numFmtId="167" fontId="0" fillId="0" borderId="0" xfId="1" applyNumberFormat="1" applyFont="1" applyAlignment="1">
      <alignment horizontal="right"/>
    </xf>
    <xf numFmtId="0" fontId="0" fillId="0" borderId="1" xfId="0" applyBorder="1"/>
    <xf numFmtId="10" fontId="0" fillId="9" borderId="11" xfId="1" applyNumberFormat="1" applyFont="1" applyFill="1" applyBorder="1" applyAlignment="1">
      <alignment horizontal="right"/>
    </xf>
    <xf numFmtId="10" fontId="0" fillId="9" borderId="4" xfId="2" applyNumberFormat="1" applyFont="1" applyFill="1" applyBorder="1" applyAlignment="1">
      <alignment horizontal="right"/>
    </xf>
    <xf numFmtId="5" fontId="0" fillId="0" borderId="4" xfId="1" applyNumberFormat="1" applyFont="1" applyBorder="1" applyAlignment="1">
      <alignment horizontal="right"/>
    </xf>
    <xf numFmtId="0" fontId="0" fillId="0" borderId="12" xfId="0" applyBorder="1"/>
    <xf numFmtId="6" fontId="0" fillId="0" borderId="13" xfId="0" applyNumberFormat="1" applyBorder="1"/>
    <xf numFmtId="0" fontId="2" fillId="0" borderId="1" xfId="0" applyFont="1" applyBorder="1" applyAlignment="1">
      <alignment horizontal="left"/>
    </xf>
    <xf numFmtId="5" fontId="2" fillId="0" borderId="11" xfId="1" applyNumberFormat="1" applyFont="1" applyBorder="1" applyAlignment="1">
      <alignment horizontal="right"/>
    </xf>
    <xf numFmtId="0" fontId="2" fillId="0" borderId="23" xfId="0" applyFont="1" applyBorder="1" applyAlignment="1">
      <alignment horizontal="left"/>
    </xf>
    <xf numFmtId="5" fontId="2" fillId="0" borderId="24" xfId="1" applyNumberFormat="1" applyFont="1" applyBorder="1" applyAlignment="1">
      <alignment horizontal="right"/>
    </xf>
    <xf numFmtId="0" fontId="0" fillId="0" borderId="0" xfId="2" applyNumberFormat="1" applyFont="1"/>
    <xf numFmtId="228" fontId="0" fillId="0" borderId="0" xfId="2" applyNumberFormat="1" applyFont="1"/>
    <xf numFmtId="0" fontId="0" fillId="0" borderId="2" xfId="0" applyBorder="1"/>
    <xf numFmtId="14" fontId="61" fillId="0" borderId="0" xfId="332" applyNumberFormat="1" applyFont="1" applyFill="1" applyBorder="1" applyAlignment="1">
      <alignment horizontal="center"/>
    </xf>
    <xf numFmtId="0" fontId="0" fillId="0" borderId="0" xfId="0" applyBorder="1"/>
    <xf numFmtId="14" fontId="61" fillId="0" borderId="17" xfId="332" applyNumberFormat="1" applyFont="1" applyFill="1" applyBorder="1" applyAlignment="1">
      <alignment horizontal="center"/>
    </xf>
    <xf numFmtId="0" fontId="0" fillId="0" borderId="17" xfId="0" applyBorder="1"/>
    <xf numFmtId="228" fontId="2" fillId="0" borderId="0" xfId="2" applyNumberFormat="1" applyFont="1"/>
    <xf numFmtId="10" fontId="2" fillId="0" borderId="0" xfId="2" applyNumberFormat="1" applyFont="1"/>
    <xf numFmtId="0" fontId="2" fillId="0" borderId="2" xfId="0" applyFont="1" applyBorder="1" applyAlignment="1">
      <alignment horizontal="center"/>
    </xf>
    <xf numFmtId="168" fontId="2" fillId="0" borderId="2" xfId="1"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xf>
    <xf numFmtId="227" fontId="0" fillId="0" borderId="0" xfId="1" applyNumberFormat="1" applyFont="1" applyBorder="1" applyAlignment="1">
      <alignment horizontal="center" vertical="center"/>
    </xf>
    <xf numFmtId="0" fontId="0" fillId="0" borderId="0" xfId="0" applyBorder="1" applyAlignment="1">
      <alignment horizontal="center" vertical="top"/>
    </xf>
    <xf numFmtId="0" fontId="0" fillId="0" borderId="7" xfId="0" applyBorder="1"/>
    <xf numFmtId="0" fontId="0" fillId="0" borderId="7" xfId="0" applyBorder="1" applyAlignment="1">
      <alignment horizontal="center" vertical="center"/>
    </xf>
    <xf numFmtId="168" fontId="4" fillId="0" borderId="0" xfId="1" applyNumberFormat="1" applyFont="1" applyFill="1" applyAlignment="1">
      <alignment horizontal="right"/>
    </xf>
    <xf numFmtId="9" fontId="61" fillId="0" borderId="5" xfId="2" applyNumberFormat="1" applyFont="1" applyFill="1" applyBorder="1" applyAlignment="1">
      <alignment horizontal="right"/>
    </xf>
    <xf numFmtId="229" fontId="4" fillId="0" borderId="0" xfId="0" applyNumberFormat="1" applyFont="1" applyAlignment="1">
      <alignment horizontal="right"/>
    </xf>
    <xf numFmtId="0" fontId="61" fillId="0" borderId="6" xfId="0" applyFont="1" applyBorder="1" applyAlignment="1">
      <alignment horizontal="left"/>
    </xf>
    <xf numFmtId="0" fontId="61" fillId="0" borderId="10"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1" fillId="9" borderId="1" xfId="0" applyFont="1" applyFill="1" applyBorder="1" applyAlignment="1">
      <alignment horizontal="left"/>
    </xf>
    <xf numFmtId="0" fontId="61" fillId="9" borderId="11" xfId="0" applyFont="1" applyFill="1" applyBorder="1" applyAlignment="1">
      <alignment horizontal="left"/>
    </xf>
    <xf numFmtId="0" fontId="59" fillId="2" borderId="3" xfId="0" applyFont="1" applyFill="1" applyBorder="1" applyAlignment="1">
      <alignment horizontal="left"/>
    </xf>
    <xf numFmtId="0" fontId="59" fillId="2" borderId="4" xfId="0" applyFont="1" applyFill="1" applyBorder="1" applyAlignment="1">
      <alignment horizontal="left"/>
    </xf>
    <xf numFmtId="0" fontId="61" fillId="10" borderId="3" xfId="0" applyFont="1" applyFill="1" applyBorder="1" applyAlignment="1">
      <alignment horizontal="left"/>
    </xf>
    <xf numFmtId="0" fontId="61" fillId="10" borderId="4" xfId="0" applyFont="1" applyFill="1" applyBorder="1" applyAlignment="1">
      <alignment horizontal="left"/>
    </xf>
    <xf numFmtId="0" fontId="61" fillId="0" borderId="6" xfId="0" applyFont="1" applyFill="1" applyBorder="1" applyAlignment="1">
      <alignment horizontal="left"/>
    </xf>
    <xf numFmtId="0" fontId="61" fillId="0" borderId="10"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indent="3"/>
    </xf>
    <xf numFmtId="0" fontId="62" fillId="0" borderId="4" xfId="0" applyFont="1" applyBorder="1" applyAlignment="1">
      <alignment horizontal="left" indent="3"/>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0" fontId="61" fillId="0" borderId="4" xfId="0" applyFont="1" applyBorder="1" applyAlignment="1">
      <alignment horizontal="left" indent="2"/>
    </xf>
    <xf numFmtId="0" fontId="62" fillId="0" borderId="3" xfId="0" applyFont="1" applyBorder="1" applyAlignment="1">
      <alignment horizontal="left" indent="4"/>
    </xf>
    <xf numFmtId="0" fontId="62" fillId="0" borderId="4" xfId="0" applyFont="1" applyBorder="1" applyAlignment="1">
      <alignment horizontal="left" indent="4"/>
    </xf>
    <xf numFmtId="0" fontId="60" fillId="0" borderId="4" xfId="0" applyFont="1" applyBorder="1" applyAlignment="1">
      <alignment horizontal="center" wrapText="1"/>
    </xf>
    <xf numFmtId="0" fontId="61" fillId="0" borderId="3" xfId="0" applyFont="1" applyBorder="1" applyAlignment="1">
      <alignment horizontal="left" indent="4"/>
    </xf>
    <xf numFmtId="0" fontId="61" fillId="0" borderId="4" xfId="0" applyFont="1" applyBorder="1" applyAlignment="1">
      <alignment horizontal="left" indent="4"/>
    </xf>
    <xf numFmtId="0" fontId="82" fillId="2" borderId="1" xfId="0" applyFont="1" applyFill="1" applyBorder="1" applyAlignment="1">
      <alignment horizontal="left"/>
    </xf>
    <xf numFmtId="0" fontId="82" fillId="2" borderId="11" xfId="0" applyFont="1" applyFill="1" applyBorder="1" applyAlignment="1">
      <alignment horizontal="left"/>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82" fillId="2" borderId="27" xfId="0" applyFont="1" applyFill="1" applyBorder="1" applyAlignment="1">
      <alignment horizontal="left"/>
    </xf>
    <xf numFmtId="0" fontId="82" fillId="2" borderId="28" xfId="0" applyFont="1" applyFill="1"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2" fillId="0" borderId="9" xfId="0" applyFont="1" applyBorder="1" applyAlignment="1">
      <alignment horizontal="center"/>
    </xf>
    <xf numFmtId="0" fontId="2" fillId="0" borderId="0" xfId="0" applyFont="1" applyAlignment="1">
      <alignment horizontal="center" vertical="top"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eutral" xfId="332" builtinId="28"/>
    <cellStyle name="no dec" xfId="230" xr:uid="{00000000-0005-0000-0000-0000E4000000}"/>
    <cellStyle name="nodollars" xfId="231" xr:uid="{00000000-0005-0000-0000-0000E5000000}"/>
    <cellStyle name="nodollars 2" xfId="232" xr:uid="{00000000-0005-0000-0000-0000E6000000}"/>
    <cellStyle name="Normal" xfId="0" builtinId="0"/>
    <cellStyle name="Normal - Style1" xfId="233" xr:uid="{00000000-0005-0000-0000-0000E8000000}"/>
    <cellStyle name="Normal - Style1 2" xfId="234" xr:uid="{00000000-0005-0000-0000-0000E9000000}"/>
    <cellStyle name="Normal - Style2" xfId="235" xr:uid="{00000000-0005-0000-0000-0000EA000000}"/>
    <cellStyle name="Normal - Style3" xfId="236" xr:uid="{00000000-0005-0000-0000-0000EB000000}"/>
    <cellStyle name="Normal - Style4" xfId="237" xr:uid="{00000000-0005-0000-0000-0000EC000000}"/>
    <cellStyle name="Normal - Style5" xfId="238" xr:uid="{00000000-0005-0000-0000-0000ED000000}"/>
    <cellStyle name="Normal 10" xfId="239" xr:uid="{00000000-0005-0000-0000-0000EE000000}"/>
    <cellStyle name="Normal 11" xfId="331" xr:uid="{00000000-0005-0000-0000-0000EF000000}"/>
    <cellStyle name="Normal 141" xfId="330" xr:uid="{00000000-0005-0000-0000-0000F0000000}"/>
    <cellStyle name="Normal 2" xfId="3" xr:uid="{00000000-0005-0000-0000-0000F1000000}"/>
    <cellStyle name="Normal 2 2" xfId="240" xr:uid="{00000000-0005-0000-0000-0000F2000000}"/>
    <cellStyle name="Normal 2 2 2" xfId="241" xr:uid="{00000000-0005-0000-0000-0000F3000000}"/>
    <cellStyle name="Normal 2 3" xfId="242" xr:uid="{00000000-0005-0000-0000-0000F4000000}"/>
    <cellStyle name="Normal 2 3 2" xfId="243" xr:uid="{00000000-0005-0000-0000-0000F5000000}"/>
    <cellStyle name="Normal 2 4" xfId="244" xr:uid="{00000000-0005-0000-0000-0000F6000000}"/>
    <cellStyle name="Normal 2 5" xfId="245" xr:uid="{00000000-0005-0000-0000-0000F7000000}"/>
    <cellStyle name="Normal 2 6" xfId="246" xr:uid="{00000000-0005-0000-0000-0000F8000000}"/>
    <cellStyle name="Normal 2 7" xfId="247" xr:uid="{00000000-0005-0000-0000-0000F9000000}"/>
    <cellStyle name="Normal 2 8" xfId="248" xr:uid="{00000000-0005-0000-0000-0000FA000000}"/>
    <cellStyle name="Normal 3" xfId="4" xr:uid="{00000000-0005-0000-0000-0000FB000000}"/>
    <cellStyle name="Normal 3 2" xfId="249" xr:uid="{00000000-0005-0000-0000-0000FC000000}"/>
    <cellStyle name="Normal 3 3" xfId="250" xr:uid="{00000000-0005-0000-0000-0000FD000000}"/>
    <cellStyle name="Normal 3 4" xfId="251" xr:uid="{00000000-0005-0000-0000-0000FE000000}"/>
    <cellStyle name="Normal 4" xfId="252" xr:uid="{00000000-0005-0000-0000-0000FF000000}"/>
    <cellStyle name="Normal 5" xfId="253" xr:uid="{00000000-0005-0000-0000-000000010000}"/>
    <cellStyle name="Normal 5 2" xfId="254" xr:uid="{00000000-0005-0000-0000-000001010000}"/>
    <cellStyle name="Normal 6" xfId="255" xr:uid="{00000000-0005-0000-0000-000002010000}"/>
    <cellStyle name="Normal 6 2" xfId="256" xr:uid="{00000000-0005-0000-0000-000003010000}"/>
    <cellStyle name="Normal 6 3" xfId="257" xr:uid="{00000000-0005-0000-0000-000004010000}"/>
    <cellStyle name="Normal 7" xfId="258" xr:uid="{00000000-0005-0000-0000-000005010000}"/>
    <cellStyle name="Normal 7 2" xfId="259" xr:uid="{00000000-0005-0000-0000-000006010000}"/>
    <cellStyle name="Normal 8" xfId="260" xr:uid="{00000000-0005-0000-0000-000007010000}"/>
    <cellStyle name="Normal 8 2" xfId="261" xr:uid="{00000000-0005-0000-0000-000008010000}"/>
    <cellStyle name="Normal 8 3" xfId="262" xr:uid="{00000000-0005-0000-0000-000009010000}"/>
    <cellStyle name="Normal 9" xfId="263" xr:uid="{00000000-0005-0000-0000-00000A010000}"/>
    <cellStyle name="Number0DecimalStyle" xfId="264" xr:uid="{00000000-0005-0000-0000-00000B010000}"/>
    <cellStyle name="Number0DecimalStyle 2" xfId="265" xr:uid="{00000000-0005-0000-0000-00000C010000}"/>
    <cellStyle name="Number10DecimalStyle" xfId="266" xr:uid="{00000000-0005-0000-0000-00000D010000}"/>
    <cellStyle name="Number1DecimalStyle" xfId="267" xr:uid="{00000000-0005-0000-0000-00000E010000}"/>
    <cellStyle name="Number2DecimalStyle" xfId="268" xr:uid="{00000000-0005-0000-0000-00000F010000}"/>
    <cellStyle name="Number2DecimalStyle 2" xfId="269" xr:uid="{00000000-0005-0000-0000-000010010000}"/>
    <cellStyle name="Number3DecimalStyle" xfId="270" xr:uid="{00000000-0005-0000-0000-000011010000}"/>
    <cellStyle name="Number4DecimalStyle" xfId="271" xr:uid="{00000000-0005-0000-0000-000012010000}"/>
    <cellStyle name="Number5DecimalStyle" xfId="272" xr:uid="{00000000-0005-0000-0000-000013010000}"/>
    <cellStyle name="Number6DecimalStyle" xfId="273" xr:uid="{00000000-0005-0000-0000-000014010000}"/>
    <cellStyle name="Number7DecimalStyle" xfId="274" xr:uid="{00000000-0005-0000-0000-000015010000}"/>
    <cellStyle name="Number8DecimalStyle" xfId="275" xr:uid="{00000000-0005-0000-0000-000016010000}"/>
    <cellStyle name="Number9DecimalStyle" xfId="276" xr:uid="{00000000-0005-0000-0000-000017010000}"/>
    <cellStyle name="over" xfId="277" xr:uid="{00000000-0005-0000-0000-000018010000}"/>
    <cellStyle name="Percent" xfId="2" builtinId="5"/>
    <cellStyle name="percent (0)" xfId="278" xr:uid="{00000000-0005-0000-0000-00001A010000}"/>
    <cellStyle name="Percent [0]" xfId="279" xr:uid="{00000000-0005-0000-0000-00001B010000}"/>
    <cellStyle name="Percent [0] 2" xfId="280" xr:uid="{00000000-0005-0000-0000-00001C010000}"/>
    <cellStyle name="Percent [00]" xfId="281" xr:uid="{00000000-0005-0000-0000-00001D010000}"/>
    <cellStyle name="Percent [00] 2" xfId="282" xr:uid="{00000000-0005-0000-0000-00001E010000}"/>
    <cellStyle name="Percent [2]" xfId="283" xr:uid="{00000000-0005-0000-0000-00001F010000}"/>
    <cellStyle name="Percent 10" xfId="284" xr:uid="{00000000-0005-0000-0000-000020010000}"/>
    <cellStyle name="Percent 2" xfId="285" xr:uid="{00000000-0005-0000-0000-000021010000}"/>
    <cellStyle name="Percent 2 2" xfId="286" xr:uid="{00000000-0005-0000-0000-000022010000}"/>
    <cellStyle name="Percent 2 3" xfId="287" xr:uid="{00000000-0005-0000-0000-000023010000}"/>
    <cellStyle name="Percent 2 4" xfId="288" xr:uid="{00000000-0005-0000-0000-000024010000}"/>
    <cellStyle name="Percent 3" xfId="289" xr:uid="{00000000-0005-0000-0000-000025010000}"/>
    <cellStyle name="Percent 3 2" xfId="290" xr:uid="{00000000-0005-0000-0000-000026010000}"/>
    <cellStyle name="Percent 4" xfId="291" xr:uid="{00000000-0005-0000-0000-000027010000}"/>
    <cellStyle name="Percent 6" xfId="292" xr:uid="{00000000-0005-0000-0000-000028010000}"/>
    <cellStyle name="PERCENTAGE" xfId="293" xr:uid="{00000000-0005-0000-0000-000029010000}"/>
    <cellStyle name="posit" xfId="294" xr:uid="{00000000-0005-0000-0000-00002A010000}"/>
    <cellStyle name="Powerpoint Style" xfId="295" xr:uid="{00000000-0005-0000-0000-00002B010000}"/>
    <cellStyle name="PrePop Currency (0)" xfId="296" xr:uid="{00000000-0005-0000-0000-00002C010000}"/>
    <cellStyle name="PrePop Currency (0) 2" xfId="297" xr:uid="{00000000-0005-0000-0000-00002D010000}"/>
    <cellStyle name="PrePop Currency (2)" xfId="298" xr:uid="{00000000-0005-0000-0000-00002E010000}"/>
    <cellStyle name="PrePop Currency (2) 2" xfId="299" xr:uid="{00000000-0005-0000-0000-00002F010000}"/>
    <cellStyle name="PrePop Units (0)" xfId="300" xr:uid="{00000000-0005-0000-0000-000030010000}"/>
    <cellStyle name="PrePop Units (0) 2" xfId="301" xr:uid="{00000000-0005-0000-0000-000031010000}"/>
    <cellStyle name="PrePop Units (1)" xfId="302" xr:uid="{00000000-0005-0000-0000-000032010000}"/>
    <cellStyle name="PrePop Units (1) 2" xfId="303" xr:uid="{00000000-0005-0000-0000-000033010000}"/>
    <cellStyle name="PrePop Units (2)" xfId="304" xr:uid="{00000000-0005-0000-0000-000034010000}"/>
    <cellStyle name="PrePop Units (2) 2" xfId="305" xr:uid="{00000000-0005-0000-0000-000035010000}"/>
    <cellStyle name="SingleTopDoubleBott" xfId="306" xr:uid="{00000000-0005-0000-0000-000036010000}"/>
    <cellStyle name="Standard_A" xfId="307" xr:uid="{00000000-0005-0000-0000-000037010000}"/>
    <cellStyle name="Style 1" xfId="308" xr:uid="{00000000-0005-0000-0000-000038010000}"/>
    <cellStyle name="Style 2" xfId="309" xr:uid="{00000000-0005-0000-0000-000039010000}"/>
    <cellStyle name="Style 3" xfId="310" xr:uid="{00000000-0005-0000-0000-00003A010000}"/>
    <cellStyle name="Style 4" xfId="311" xr:uid="{00000000-0005-0000-0000-00003B010000}"/>
    <cellStyle name="Text Indent A" xfId="312" xr:uid="{00000000-0005-0000-0000-00003C010000}"/>
    <cellStyle name="Text Indent B" xfId="313" xr:uid="{00000000-0005-0000-0000-00003D010000}"/>
    <cellStyle name="Text Indent B 2" xfId="314" xr:uid="{00000000-0005-0000-0000-00003E010000}"/>
    <cellStyle name="Text Indent C" xfId="315" xr:uid="{00000000-0005-0000-0000-00003F010000}"/>
    <cellStyle name="Text Indent C 2" xfId="316" xr:uid="{00000000-0005-0000-0000-000040010000}"/>
    <cellStyle name="TextStyle" xfId="317" xr:uid="{00000000-0005-0000-0000-000041010000}"/>
    <cellStyle name="Tickmark" xfId="318" xr:uid="{00000000-0005-0000-0000-000042010000}"/>
    <cellStyle name="TimStyle" xfId="319" xr:uid="{00000000-0005-0000-0000-000043010000}"/>
    <cellStyle name="Total 2" xfId="320" xr:uid="{00000000-0005-0000-0000-000044010000}"/>
    <cellStyle name="Total 3" xfId="321" xr:uid="{00000000-0005-0000-0000-000045010000}"/>
    <cellStyle name="Total 4" xfId="322" xr:uid="{00000000-0005-0000-0000-000046010000}"/>
    <cellStyle name="Underline" xfId="323" xr:uid="{00000000-0005-0000-0000-000047010000}"/>
    <cellStyle name="UnderlineDouble" xfId="324" xr:uid="{00000000-0005-0000-0000-000048010000}"/>
    <cellStyle name="Währung [0]_RESULTS" xfId="325" xr:uid="{00000000-0005-0000-0000-000049010000}"/>
    <cellStyle name="Währung_RESULTS" xfId="326" xr:uid="{00000000-0005-0000-0000-00004A010000}"/>
    <cellStyle name="표준_BINV" xfId="327" xr:uid="{00000000-0005-0000-0000-00004B010000}"/>
    <cellStyle name="標準_99B-05PE_IC2" xfId="328" xr:uid="{00000000-0005-0000-0000-00004C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TSLA Vehicle Delivery Forecast</a:t>
            </a:r>
          </a:p>
        </c:rich>
      </c:tx>
      <c:layout>
        <c:manualLayout>
          <c:xMode val="edge"/>
          <c:yMode val="edge"/>
          <c:x val="0.26793056972258711"/>
          <c:y val="0"/>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Model'!$B$58</c:f>
              <c:strCache>
                <c:ptCount val="1"/>
                <c:pt idx="0">
                  <c:v>Total vehicles delivered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Model'!$K$40,'Earnings Model'!$L$40,'Earnings Model'!$N$40,'Earnings Model'!$O$40,'Earnings Model'!$P$40,'Earnings Model'!$Q$40,'Earnings Model'!$S$40,'Earnings Model'!$T$40)</c:f>
              <c:strCache>
                <c:ptCount val="8"/>
                <c:pt idx="0">
                  <c:v> 3Q18 </c:v>
                </c:pt>
                <c:pt idx="1">
                  <c:v> 4Q18 </c:v>
                </c:pt>
                <c:pt idx="2">
                  <c:v> 1Q19 </c:v>
                </c:pt>
                <c:pt idx="3">
                  <c:v> 2Q19 </c:v>
                </c:pt>
                <c:pt idx="4">
                  <c:v> 3Q19 </c:v>
                </c:pt>
                <c:pt idx="5">
                  <c:v> 4Q19E </c:v>
                </c:pt>
                <c:pt idx="6">
                  <c:v> 1Q20E </c:v>
                </c:pt>
                <c:pt idx="7">
                  <c:v> 2Q20E </c:v>
                </c:pt>
              </c:strCache>
            </c:strRef>
          </c:cat>
          <c:val>
            <c:numRef>
              <c:f>('Earnings Model'!$K$58,'Earnings Model'!$L$58,'Earnings Model'!$N$58,'Earnings Model'!$O$58,'Earnings Model'!$P$58,'Earnings Model'!$Q$58,'Earnings Model'!$S$58,'Earnings Model'!$T$58)</c:f>
              <c:numCache>
                <c:formatCode>_(* #,##0_);_(* \(#,##0\);_(* "-"??_);_(@_)</c:formatCode>
                <c:ptCount val="8"/>
                <c:pt idx="0">
                  <c:v>83775</c:v>
                </c:pt>
                <c:pt idx="1">
                  <c:v>90966</c:v>
                </c:pt>
                <c:pt idx="2">
                  <c:v>63019</c:v>
                </c:pt>
                <c:pt idx="3">
                  <c:v>95356</c:v>
                </c:pt>
                <c:pt idx="4">
                  <c:v>97186</c:v>
                </c:pt>
                <c:pt idx="5">
                  <c:v>106168</c:v>
                </c:pt>
                <c:pt idx="6">
                  <c:v>100139.8</c:v>
                </c:pt>
                <c:pt idx="7">
                  <c:v>107356.46750000001</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Model'!$B$59</c:f>
              <c:strCache>
                <c:ptCount val="1"/>
                <c:pt idx="0">
                  <c:v>Growth in deliveries (% YoY)</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Model'!$K$40,'Earnings Model'!$L$40,'Earnings Model'!$N$40,'Earnings Model'!$O$40,'Earnings Model'!$P$40,'Earnings Model'!$Q$40,'Earnings Model'!$S$40,'Earnings Model'!$T$40)</c:f>
              <c:strCache>
                <c:ptCount val="8"/>
                <c:pt idx="0">
                  <c:v> 3Q18 </c:v>
                </c:pt>
                <c:pt idx="1">
                  <c:v> 4Q18 </c:v>
                </c:pt>
                <c:pt idx="2">
                  <c:v> 1Q19 </c:v>
                </c:pt>
                <c:pt idx="3">
                  <c:v> 2Q19 </c:v>
                </c:pt>
                <c:pt idx="4">
                  <c:v> 3Q19 </c:v>
                </c:pt>
                <c:pt idx="5">
                  <c:v> 4Q19E </c:v>
                </c:pt>
                <c:pt idx="6">
                  <c:v> 1Q20E </c:v>
                </c:pt>
                <c:pt idx="7">
                  <c:v> 2Q20E </c:v>
                </c:pt>
              </c:strCache>
            </c:strRef>
          </c:cat>
          <c:val>
            <c:numRef>
              <c:f>('Earnings Model'!$K$59,'Earnings Model'!$L$59,'Earnings Model'!$N$59,'Earnings Model'!$O$59,'Earnings Model'!$P$59,'Earnings Model'!$Q$59,'Earnings Model'!$S$59,'Earnings Model'!$T$59)</c:f>
              <c:numCache>
                <c:formatCode>0%</c:formatCode>
                <c:ptCount val="8"/>
                <c:pt idx="0">
                  <c:v>2.205226307533382</c:v>
                </c:pt>
                <c:pt idx="1">
                  <c:v>2.0355390930023027</c:v>
                </c:pt>
                <c:pt idx="2">
                  <c:v>1.0991639185903201</c:v>
                </c:pt>
                <c:pt idx="3">
                  <c:v>1.3389913657770802</c:v>
                </c:pt>
                <c:pt idx="4">
                  <c:v>0.16008355714712019</c:v>
                </c:pt>
                <c:pt idx="5">
                  <c:v>0.16711738451729219</c:v>
                </c:pt>
                <c:pt idx="6">
                  <c:v>0.58904140021263429</c:v>
                </c:pt>
                <c:pt idx="7">
                  <c:v>0.12584910755484735</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tickLblSkip val="1"/>
        <c:tickMarkSkip val="2"/>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7838758679017509"/>
          <c:w val="0.99567776198227798"/>
          <c:h val="0.20035389365708228"/>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TSLA Stock Price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'Returns-PE'!$B$2</c:f>
              <c:strCache>
                <c:ptCount val="1"/>
                <c:pt idx="0">
                  <c:v>Closing Value</c:v>
                </c:pt>
              </c:strCache>
            </c:strRef>
          </c:tx>
          <c:spPr>
            <a:ln w="28575" cap="rnd">
              <a:solidFill>
                <a:schemeClr val="accent1"/>
              </a:solidFill>
              <a:round/>
            </a:ln>
            <a:effectLst/>
          </c:spPr>
          <c:marker>
            <c:symbol val="none"/>
          </c:marker>
          <c:cat>
            <c:numRef>
              <c:f>'Returns-PE'!$A$3:$A$15</c:f>
              <c:numCache>
                <c:formatCode>m/d/yyyy</c:formatCode>
                <c:ptCount val="13"/>
                <c:pt idx="0">
                  <c:v>43401</c:v>
                </c:pt>
                <c:pt idx="1">
                  <c:v>43427</c:v>
                </c:pt>
                <c:pt idx="2">
                  <c:v>43458</c:v>
                </c:pt>
                <c:pt idx="3">
                  <c:v>43124</c:v>
                </c:pt>
                <c:pt idx="4">
                  <c:v>43518</c:v>
                </c:pt>
                <c:pt idx="5">
                  <c:v>43546</c:v>
                </c:pt>
                <c:pt idx="6">
                  <c:v>43584</c:v>
                </c:pt>
                <c:pt idx="7">
                  <c:v>43609</c:v>
                </c:pt>
                <c:pt idx="8">
                  <c:v>43640</c:v>
                </c:pt>
                <c:pt idx="9">
                  <c:v>43670</c:v>
                </c:pt>
                <c:pt idx="10">
                  <c:v>43700</c:v>
                </c:pt>
                <c:pt idx="11">
                  <c:v>43732</c:v>
                </c:pt>
                <c:pt idx="12">
                  <c:v>43762</c:v>
                </c:pt>
              </c:numCache>
            </c:numRef>
          </c:cat>
          <c:val>
            <c:numRef>
              <c:f>'Returns-PE'!$B$3:$B$15</c:f>
              <c:numCache>
                <c:formatCode>General</c:formatCode>
                <c:ptCount val="13"/>
                <c:pt idx="0">
                  <c:v>288.5</c:v>
                </c:pt>
                <c:pt idx="1">
                  <c:v>325.83</c:v>
                </c:pt>
                <c:pt idx="2">
                  <c:v>295.39</c:v>
                </c:pt>
                <c:pt idx="3">
                  <c:v>291.51</c:v>
                </c:pt>
                <c:pt idx="4">
                  <c:v>294.70999999999998</c:v>
                </c:pt>
                <c:pt idx="5">
                  <c:v>264.52999999999997</c:v>
                </c:pt>
                <c:pt idx="6">
                  <c:v>258.66000000000003</c:v>
                </c:pt>
                <c:pt idx="7">
                  <c:v>190.63</c:v>
                </c:pt>
                <c:pt idx="8">
                  <c:v>223.64</c:v>
                </c:pt>
                <c:pt idx="9">
                  <c:v>264.88</c:v>
                </c:pt>
                <c:pt idx="10">
                  <c:v>211.4</c:v>
                </c:pt>
                <c:pt idx="11">
                  <c:v>223.21</c:v>
                </c:pt>
                <c:pt idx="12">
                  <c:v>299.68</c:v>
                </c:pt>
              </c:numCache>
            </c:numRef>
          </c:val>
          <c:smooth val="0"/>
          <c:extLst>
            <c:ext xmlns:c16="http://schemas.microsoft.com/office/drawing/2014/chart" uri="{C3380CC4-5D6E-409C-BE32-E72D297353CC}">
              <c16:uniqueId val="{00000000-292E-1E4A-99DB-F398689C1228}"/>
            </c:ext>
          </c:extLst>
        </c:ser>
        <c:dLbls>
          <c:showLegendKey val="0"/>
          <c:showVal val="0"/>
          <c:showCatName val="0"/>
          <c:showSerName val="0"/>
          <c:showPercent val="0"/>
          <c:showBubbleSize val="0"/>
        </c:dLbls>
        <c:smooth val="0"/>
        <c:axId val="1145987312"/>
        <c:axId val="1147382176"/>
      </c:lineChart>
      <c:dateAx>
        <c:axId val="1145987312"/>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7382176"/>
        <c:crosses val="autoZero"/>
        <c:auto val="1"/>
        <c:lblOffset val="100"/>
        <c:baseTimeUnit val="months"/>
      </c:dateAx>
      <c:valAx>
        <c:axId val="1147382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5987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39</xdr:row>
      <xdr:rowOff>0</xdr:rowOff>
    </xdr:from>
    <xdr:to>
      <xdr:col>3</xdr:col>
      <xdr:colOff>0</xdr:colOff>
      <xdr:row>39</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87630</xdr:colOff>
      <xdr:row>2</xdr:row>
      <xdr:rowOff>80010</xdr:rowOff>
    </xdr:from>
    <xdr:to>
      <xdr:col>5</xdr:col>
      <xdr:colOff>188595</xdr:colOff>
      <xdr:row>11</xdr:row>
      <xdr:rowOff>59055</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13</xdr:row>
      <xdr:rowOff>6350</xdr:rowOff>
    </xdr:from>
    <xdr:to>
      <xdr:col>5</xdr:col>
      <xdr:colOff>139700</xdr:colOff>
      <xdr:row>26</xdr:row>
      <xdr:rowOff>44450</xdr:rowOff>
    </xdr:to>
    <xdr:graphicFrame macro="">
      <xdr:nvGraphicFramePr>
        <xdr:cNvPr id="3" name="Chart 2">
          <a:extLst>
            <a:ext uri="{FF2B5EF4-FFF2-40B4-BE49-F238E27FC236}">
              <a16:creationId xmlns:a16="http://schemas.microsoft.com/office/drawing/2014/main" id="{382D0DD4-53F4-0343-B07F-EC6A66023C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F19"/>
  <sheetViews>
    <sheetView showGridLines="0" workbookViewId="0">
      <selection activeCell="B17" sqref="B17"/>
    </sheetView>
  </sheetViews>
  <sheetFormatPr defaultColWidth="8.85546875" defaultRowHeight="15" x14ac:dyDescent="0.25"/>
  <cols>
    <col min="1" max="1" width="1.140625" customWidth="1"/>
    <col min="2" max="2" width="152" customWidth="1"/>
    <col min="4" max="4" width="11.42578125" bestFit="1" customWidth="1"/>
    <col min="5" max="5" width="9.42578125" bestFit="1" customWidth="1"/>
  </cols>
  <sheetData>
    <row r="2" spans="2:6" ht="29.1" customHeight="1" x14ac:dyDescent="0.25">
      <c r="B2" s="89" t="s">
        <v>22</v>
      </c>
    </row>
    <row r="3" spans="2:6" ht="150" x14ac:dyDescent="0.25">
      <c r="B3" s="92" t="s">
        <v>54</v>
      </c>
    </row>
    <row r="4" spans="2:6" ht="34.35" customHeight="1" x14ac:dyDescent="0.25">
      <c r="B4" s="93" t="s">
        <v>26</v>
      </c>
    </row>
    <row r="5" spans="2:6" ht="58.5" customHeight="1" x14ac:dyDescent="0.25">
      <c r="B5" s="93" t="s">
        <v>125</v>
      </c>
      <c r="D5" s="1"/>
      <c r="E5" s="1"/>
      <c r="F5" s="76"/>
    </row>
    <row r="6" spans="2:6" ht="95.25" customHeight="1" x14ac:dyDescent="0.25">
      <c r="B6" s="93" t="s">
        <v>59</v>
      </c>
    </row>
    <row r="7" spans="2:6" ht="52.5" customHeight="1" x14ac:dyDescent="0.25">
      <c r="B7" s="136" t="s">
        <v>127</v>
      </c>
    </row>
    <row r="8" spans="2:6" ht="50.45" customHeight="1" x14ac:dyDescent="0.25">
      <c r="B8" s="94" t="s">
        <v>55</v>
      </c>
    </row>
    <row r="9" spans="2:6" ht="20.100000000000001" customHeight="1" x14ac:dyDescent="0.25">
      <c r="B9" s="94" t="s">
        <v>27</v>
      </c>
    </row>
    <row r="10" spans="2:6" ht="75" x14ac:dyDescent="0.25">
      <c r="B10" s="96" t="s">
        <v>56</v>
      </c>
    </row>
    <row r="11" spans="2:6" ht="17.45" customHeight="1" x14ac:dyDescent="0.25">
      <c r="B11" s="95" t="s">
        <v>23</v>
      </c>
    </row>
    <row r="12" spans="2:6" x14ac:dyDescent="0.25">
      <c r="B12" s="94" t="s">
        <v>57</v>
      </c>
    </row>
    <row r="13" spans="2:6" ht="60" x14ac:dyDescent="0.25">
      <c r="B13" s="95" t="s">
        <v>58</v>
      </c>
    </row>
    <row r="14" spans="2:6" x14ac:dyDescent="0.25">
      <c r="B14" s="99" t="s">
        <v>126</v>
      </c>
    </row>
    <row r="15" spans="2:6" s="90" customFormat="1" x14ac:dyDescent="0.25">
      <c r="B15" s="97" t="s">
        <v>28</v>
      </c>
    </row>
    <row r="16" spans="2:6" s="90" customFormat="1" x14ac:dyDescent="0.25">
      <c r="B16" s="97" t="s">
        <v>29</v>
      </c>
    </row>
    <row r="17" spans="2:6" s="90" customFormat="1" ht="196.5" customHeight="1" x14ac:dyDescent="0.25">
      <c r="B17" s="116" t="s">
        <v>60</v>
      </c>
      <c r="D17" s="91"/>
      <c r="E17" s="91"/>
      <c r="F17" s="91"/>
    </row>
    <row r="18" spans="2:6" s="90" customFormat="1" x14ac:dyDescent="0.25">
      <c r="B18" s="98" t="s">
        <v>24</v>
      </c>
      <c r="C18" s="91"/>
    </row>
    <row r="19" spans="2:6" s="90" customFormat="1" ht="20.45" customHeight="1" x14ac:dyDescent="0.25">
      <c r="B19" s="115" t="s">
        <v>25</v>
      </c>
    </row>
  </sheetData>
  <hyperlinks>
    <hyperlink ref="B19"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T139"/>
  <sheetViews>
    <sheetView showGridLines="0" tabSelected="1" zoomScaleNormal="100" workbookViewId="0">
      <pane xSplit="3" ySplit="12" topLeftCell="L13" activePane="bottomRight" state="frozen"/>
      <selection pane="topRight" activeCell="D1" sqref="D1"/>
      <selection pane="bottomLeft" activeCell="A13" sqref="A13"/>
      <selection pane="bottomRight" activeCell="Q7" sqref="Q7"/>
    </sheetView>
  </sheetViews>
  <sheetFormatPr defaultColWidth="8.85546875" defaultRowHeight="15" outlineLevelRow="1" outlineLevelCol="1" x14ac:dyDescent="0.25"/>
  <cols>
    <col min="1" max="1" width="1.7109375" style="4" customWidth="1"/>
    <col min="2" max="2" width="31" style="4" customWidth="1"/>
    <col min="3" max="3" width="26" style="4" customWidth="1"/>
    <col min="4" max="5" width="11.42578125" style="3" customWidth="1" outlineLevel="1"/>
    <col min="6" max="7" width="11.42578125" style="11" customWidth="1" outlineLevel="1"/>
    <col min="8" max="8" width="11.42578125" style="11" customWidth="1"/>
    <col min="9" max="10" width="11.42578125" style="3" customWidth="1" outlineLevel="1"/>
    <col min="11" max="12" width="11.42578125" style="11" customWidth="1" outlineLevel="1"/>
    <col min="13" max="13" width="11.42578125" style="11" customWidth="1"/>
    <col min="14" max="15" width="11.42578125" style="3" customWidth="1" outlineLevel="1"/>
    <col min="16" max="17" width="11.42578125" style="11" customWidth="1" outlineLevel="1"/>
    <col min="18" max="18" width="11.42578125" style="11" customWidth="1"/>
    <col min="19" max="20" width="11.42578125" style="3" customWidth="1" outlineLevel="1"/>
    <col min="21" max="22" width="11.42578125" style="11" customWidth="1" outlineLevel="1"/>
    <col min="23" max="23" width="11.42578125" style="11" customWidth="1"/>
    <col min="24" max="16384" width="8.85546875" style="4"/>
  </cols>
  <sheetData>
    <row r="1" spans="1:46" ht="9" customHeight="1" x14ac:dyDescent="0.25">
      <c r="B1" s="117" t="s">
        <v>12</v>
      </c>
    </row>
    <row r="2" spans="1:46" ht="45" customHeight="1" x14ac:dyDescent="0.25">
      <c r="B2" s="261" t="s">
        <v>11</v>
      </c>
      <c r="C2" s="262"/>
      <c r="F2" s="12"/>
    </row>
    <row r="3" spans="1:46" x14ac:dyDescent="0.25">
      <c r="B3" s="263" t="s">
        <v>166</v>
      </c>
      <c r="C3" s="264"/>
      <c r="H3" s="148"/>
      <c r="I3" s="149"/>
      <c r="J3" s="149"/>
      <c r="K3" s="148"/>
      <c r="L3" s="148"/>
      <c r="M3" s="148"/>
      <c r="N3" s="214"/>
    </row>
    <row r="4" spans="1:46" x14ac:dyDescent="0.25">
      <c r="B4" s="267" t="s">
        <v>167</v>
      </c>
      <c r="C4" s="268"/>
      <c r="H4" s="148"/>
      <c r="I4" s="149"/>
      <c r="J4" s="149"/>
      <c r="K4" s="148"/>
      <c r="L4" s="148"/>
      <c r="M4" s="148"/>
      <c r="N4" s="149"/>
      <c r="O4" s="137"/>
      <c r="P4" s="137"/>
      <c r="Q4" s="137"/>
      <c r="R4" s="137"/>
      <c r="S4" s="137"/>
      <c r="AT4" s="117" t="s">
        <v>12</v>
      </c>
    </row>
    <row r="5" spans="1:46" s="138" customFormat="1" ht="30.75" hidden="1" customHeight="1" x14ac:dyDescent="0.25">
      <c r="B5" s="269"/>
      <c r="C5" s="270"/>
      <c r="D5" s="250"/>
      <c r="E5" s="250"/>
      <c r="F5" s="250"/>
      <c r="G5" s="250"/>
      <c r="H5" s="150"/>
      <c r="I5" s="150"/>
      <c r="J5" s="150"/>
      <c r="K5" s="150"/>
      <c r="L5" s="150"/>
      <c r="M5" s="150"/>
      <c r="N5" s="150"/>
      <c r="O5" s="150"/>
      <c r="P5" s="11"/>
      <c r="Q5" s="11"/>
      <c r="R5" s="11"/>
      <c r="S5" s="3"/>
      <c r="T5" s="3"/>
      <c r="U5" s="11"/>
      <c r="V5" s="11"/>
      <c r="W5" s="11"/>
    </row>
    <row r="6" spans="1:46" ht="14.45" hidden="1" customHeight="1" x14ac:dyDescent="0.25">
      <c r="B6" s="70"/>
      <c r="C6" s="71"/>
      <c r="D6" s="13"/>
      <c r="E6" s="13"/>
      <c r="F6" s="13"/>
      <c r="G6" s="13"/>
      <c r="H6" s="15"/>
      <c r="I6" s="13"/>
      <c r="J6" s="13"/>
      <c r="K6" s="13"/>
      <c r="L6" s="13"/>
      <c r="M6" s="13"/>
      <c r="N6" s="13"/>
      <c r="O6" s="73"/>
    </row>
    <row r="7" spans="1:46" ht="3" customHeight="1" x14ac:dyDescent="0.25">
      <c r="B7" s="59"/>
      <c r="C7" s="68"/>
      <c r="D7" s="37"/>
      <c r="E7" s="37"/>
      <c r="F7" s="37"/>
      <c r="G7" s="37"/>
      <c r="H7" s="37"/>
      <c r="I7" s="37"/>
      <c r="J7" s="37"/>
      <c r="K7" s="37"/>
      <c r="L7" s="37"/>
      <c r="M7" s="37"/>
      <c r="N7" s="37"/>
      <c r="O7" s="73"/>
    </row>
    <row r="8" spans="1:46" ht="15.75" customHeight="1" x14ac:dyDescent="0.25">
      <c r="B8" s="229" t="s">
        <v>170</v>
      </c>
      <c r="C8" s="230">
        <f>C114</f>
        <v>305.70061914050871</v>
      </c>
      <c r="D8" s="37"/>
      <c r="E8" s="37"/>
      <c r="F8" s="37"/>
      <c r="G8" s="37"/>
      <c r="H8" s="37"/>
      <c r="I8" s="37"/>
      <c r="J8" s="69"/>
      <c r="K8" s="37"/>
      <c r="L8" s="37"/>
      <c r="M8" s="37"/>
      <c r="N8" s="26"/>
      <c r="O8" s="73"/>
      <c r="P8" s="252"/>
    </row>
    <row r="9" spans="1:46" ht="15.75" customHeight="1" x14ac:dyDescent="0.25">
      <c r="B9" s="231" t="s">
        <v>178</v>
      </c>
      <c r="C9" s="232" t="str">
        <f>TEXT(C123,"$0")&amp;" to "&amp;TEXT(C122,"$0")</f>
        <v>$205 to $416</v>
      </c>
      <c r="D9" s="41"/>
      <c r="E9" s="41"/>
      <c r="F9" s="41"/>
      <c r="G9" s="41"/>
      <c r="H9" s="41"/>
      <c r="I9" s="41"/>
      <c r="J9" s="41"/>
      <c r="K9" s="41"/>
      <c r="L9" s="41"/>
      <c r="M9" s="41"/>
      <c r="N9" s="151"/>
      <c r="O9" s="141"/>
      <c r="P9" s="77"/>
      <c r="Q9" s="78"/>
      <c r="R9" s="37"/>
      <c r="S9" s="74"/>
      <c r="T9" s="37"/>
      <c r="U9" s="37"/>
      <c r="V9" s="37"/>
      <c r="W9" s="41"/>
    </row>
    <row r="10" spans="1:46" ht="8.25" customHeight="1" x14ac:dyDescent="0.25">
      <c r="B10" s="117" t="s">
        <v>12</v>
      </c>
      <c r="D10" s="17"/>
      <c r="E10" s="17"/>
      <c r="F10" s="17"/>
      <c r="G10" s="17"/>
      <c r="H10" s="17"/>
      <c r="I10" s="17"/>
      <c r="J10" s="17"/>
      <c r="K10" s="17"/>
      <c r="L10" s="17"/>
      <c r="M10" s="17"/>
      <c r="N10" s="204"/>
      <c r="O10" s="204"/>
      <c r="P10" s="80"/>
      <c r="Q10" s="80"/>
      <c r="R10" s="67"/>
      <c r="S10" s="80"/>
      <c r="T10" s="17"/>
      <c r="U10" s="17"/>
      <c r="V10" s="81"/>
      <c r="W10" s="13"/>
    </row>
    <row r="11" spans="1:46" ht="15.75" x14ac:dyDescent="0.25">
      <c r="A11" s="281"/>
      <c r="B11" s="257" t="s">
        <v>61</v>
      </c>
      <c r="C11" s="258"/>
      <c r="D11" s="23" t="s">
        <v>38</v>
      </c>
      <c r="E11" s="23" t="s">
        <v>39</v>
      </c>
      <c r="F11" s="23" t="s">
        <v>34</v>
      </c>
      <c r="G11" s="23" t="s">
        <v>35</v>
      </c>
      <c r="H11" s="63" t="s">
        <v>35</v>
      </c>
      <c r="I11" s="23" t="s">
        <v>36</v>
      </c>
      <c r="J11" s="23" t="s">
        <v>37</v>
      </c>
      <c r="K11" s="23" t="s">
        <v>31</v>
      </c>
      <c r="L11" s="23" t="s">
        <v>30</v>
      </c>
      <c r="M11" s="63" t="s">
        <v>30</v>
      </c>
      <c r="N11" s="23" t="s">
        <v>32</v>
      </c>
      <c r="O11" s="23" t="s">
        <v>33</v>
      </c>
      <c r="P11" s="23" t="s">
        <v>40</v>
      </c>
      <c r="Q11" s="25" t="s">
        <v>41</v>
      </c>
      <c r="R11" s="65" t="s">
        <v>41</v>
      </c>
      <c r="S11" s="25" t="s">
        <v>42</v>
      </c>
      <c r="T11" s="25" t="s">
        <v>43</v>
      </c>
      <c r="U11" s="25" t="s">
        <v>44</v>
      </c>
      <c r="V11" s="25" t="s">
        <v>45</v>
      </c>
      <c r="W11" s="65" t="s">
        <v>45</v>
      </c>
    </row>
    <row r="12" spans="1:46" ht="17.45" customHeight="1" x14ac:dyDescent="0.4">
      <c r="A12" s="281"/>
      <c r="B12" s="259" t="s">
        <v>3</v>
      </c>
      <c r="C12" s="260"/>
      <c r="D12" s="24" t="s">
        <v>150</v>
      </c>
      <c r="E12" s="24" t="s">
        <v>151</v>
      </c>
      <c r="F12" s="24" t="s">
        <v>152</v>
      </c>
      <c r="G12" s="24" t="s">
        <v>153</v>
      </c>
      <c r="H12" s="64" t="s">
        <v>64</v>
      </c>
      <c r="I12" s="24" t="s">
        <v>154</v>
      </c>
      <c r="J12" s="24" t="s">
        <v>155</v>
      </c>
      <c r="K12" s="24" t="s">
        <v>156</v>
      </c>
      <c r="L12" s="24" t="s">
        <v>157</v>
      </c>
      <c r="M12" s="64" t="s">
        <v>65</v>
      </c>
      <c r="N12" s="24" t="s">
        <v>158</v>
      </c>
      <c r="O12" s="24" t="s">
        <v>159</v>
      </c>
      <c r="P12" s="24" t="s">
        <v>196</v>
      </c>
      <c r="Q12" s="22" t="s">
        <v>160</v>
      </c>
      <c r="R12" s="66" t="s">
        <v>62</v>
      </c>
      <c r="S12" s="22" t="s">
        <v>161</v>
      </c>
      <c r="T12" s="22" t="s">
        <v>162</v>
      </c>
      <c r="U12" s="22" t="s">
        <v>163</v>
      </c>
      <c r="V12" s="22" t="s">
        <v>164</v>
      </c>
      <c r="W12" s="66" t="s">
        <v>63</v>
      </c>
      <c r="X12" s="117" t="s">
        <v>12</v>
      </c>
    </row>
    <row r="13" spans="1:46" s="19" customFormat="1" x14ac:dyDescent="0.25">
      <c r="B13" s="275" t="s">
        <v>46</v>
      </c>
      <c r="C13" s="276"/>
      <c r="D13" s="32">
        <v>2696.27</v>
      </c>
      <c r="E13" s="32">
        <v>2789.5569999999998</v>
      </c>
      <c r="F13" s="32">
        <v>2984.6750000000002</v>
      </c>
      <c r="G13" s="32">
        <f>11758.751-F13-E13-D13</f>
        <v>3288.2490000000012</v>
      </c>
      <c r="H13" s="33">
        <f>SUM(D13:G13)</f>
        <v>11758.751000000002</v>
      </c>
      <c r="I13" s="32">
        <v>3408.7510000000002</v>
      </c>
      <c r="J13" s="32">
        <v>4002.2310000000002</v>
      </c>
      <c r="K13" s="32">
        <v>6824.4129999999996</v>
      </c>
      <c r="L13" s="32">
        <f>21461.268-K13-J13-I13</f>
        <v>7225.8729999999996</v>
      </c>
      <c r="M13" s="33">
        <f>SUM(I13:L13)</f>
        <v>21461.268</v>
      </c>
      <c r="N13" s="143">
        <v>4541.4639999999999</v>
      </c>
      <c r="O13" s="143">
        <v>6349.6760000000004</v>
      </c>
      <c r="P13" s="143">
        <f>+P63+P67+P75+P80</f>
        <v>6303</v>
      </c>
      <c r="Q13" s="143">
        <f>+Q63+Q67+Q75+Q80</f>
        <v>6923.6252573086449</v>
      </c>
      <c r="R13" s="171">
        <f>SUM(N13:Q13)</f>
        <v>24117.765257308645</v>
      </c>
      <c r="S13" s="143">
        <f>+S63+S67+S75+S80</f>
        <v>6566.9121186599868</v>
      </c>
      <c r="T13" s="143">
        <f>+T63+T67+T75+T80</f>
        <v>7043.4494847394817</v>
      </c>
      <c r="U13" s="143">
        <f>+U63+U67+U75+U80</f>
        <v>8030.396600101094</v>
      </c>
      <c r="V13" s="143">
        <f>+V63+V67+V75+V80</f>
        <v>8960.8519051828698</v>
      </c>
      <c r="W13" s="171">
        <f>SUM(S13:V13)</f>
        <v>30601.610108683431</v>
      </c>
    </row>
    <row r="14" spans="1:46" ht="17.25" x14ac:dyDescent="0.4">
      <c r="B14" s="255" t="s">
        <v>48</v>
      </c>
      <c r="C14" s="256"/>
      <c r="D14" s="30">
        <v>2028.3240000000001</v>
      </c>
      <c r="E14" s="30">
        <v>2122.942</v>
      </c>
      <c r="F14" s="30">
        <v>2535.5349999999999</v>
      </c>
      <c r="G14" s="30">
        <f>9536.264-F14-E14-D14</f>
        <v>2849.4629999999993</v>
      </c>
      <c r="H14" s="31">
        <f>SUM(D14:G14)</f>
        <v>9536.2639999999992</v>
      </c>
      <c r="I14" s="30">
        <v>2952.2249999999999</v>
      </c>
      <c r="J14" s="30">
        <v>3383.3009999999999</v>
      </c>
      <c r="K14" s="30">
        <v>5300.7479999999996</v>
      </c>
      <c r="L14" s="30">
        <f>17419.247-K14-J14-I14</f>
        <v>5782.973</v>
      </c>
      <c r="M14" s="31">
        <f>SUM(I14:L14)</f>
        <v>17419.246999999999</v>
      </c>
      <c r="N14" s="146">
        <v>3975.721</v>
      </c>
      <c r="O14" s="146">
        <v>5428.63</v>
      </c>
      <c r="P14" s="146">
        <f>+P64+P68+P77+P82</f>
        <v>5112</v>
      </c>
      <c r="Q14" s="146">
        <f>+Q64+Q68+Q77+Q82</f>
        <v>5691.3107759016157</v>
      </c>
      <c r="R14" s="172">
        <f>SUM(N14:Q14)</f>
        <v>20207.661775901615</v>
      </c>
      <c r="S14" s="146">
        <f>+S64+S68+S77+S82</f>
        <v>5470.9291883990199</v>
      </c>
      <c r="T14" s="146">
        <f>+T64+T68+T77+T82</f>
        <v>5759.6814761407313</v>
      </c>
      <c r="U14" s="146">
        <f>+U64+U68+U77+U82</f>
        <v>6517.7144378204266</v>
      </c>
      <c r="V14" s="146">
        <f>+V64+V68+V77+V82</f>
        <v>7307.4272128716739</v>
      </c>
      <c r="W14" s="172">
        <f>SUM(S14:V14)</f>
        <v>25055.75231523185</v>
      </c>
    </row>
    <row r="15" spans="1:46" s="19" customFormat="1" x14ac:dyDescent="0.25">
      <c r="B15" s="58" t="s">
        <v>79</v>
      </c>
      <c r="C15" s="60"/>
      <c r="D15" s="32">
        <f t="shared" ref="D15:W15" si="0">+D13-D14</f>
        <v>667.94599999999991</v>
      </c>
      <c r="E15" s="32">
        <f t="shared" si="0"/>
        <v>666.61499999999978</v>
      </c>
      <c r="F15" s="32">
        <f t="shared" si="0"/>
        <v>449.14000000000033</v>
      </c>
      <c r="G15" s="32">
        <f t="shared" si="0"/>
        <v>438.78600000000188</v>
      </c>
      <c r="H15" s="33">
        <f t="shared" si="0"/>
        <v>2222.4870000000028</v>
      </c>
      <c r="I15" s="32">
        <f t="shared" si="0"/>
        <v>456.52600000000029</v>
      </c>
      <c r="J15" s="32">
        <f t="shared" si="0"/>
        <v>618.93000000000029</v>
      </c>
      <c r="K15" s="32">
        <f t="shared" si="0"/>
        <v>1523.665</v>
      </c>
      <c r="L15" s="32">
        <f t="shared" si="0"/>
        <v>1442.8999999999996</v>
      </c>
      <c r="M15" s="33">
        <f t="shared" si="0"/>
        <v>4042.0210000000006</v>
      </c>
      <c r="N15" s="143">
        <f t="shared" si="0"/>
        <v>565.74299999999994</v>
      </c>
      <c r="O15" s="143">
        <f t="shared" si="0"/>
        <v>921.04600000000028</v>
      </c>
      <c r="P15" s="32">
        <f>+P13-P14</f>
        <v>1191</v>
      </c>
      <c r="Q15" s="32">
        <f t="shared" si="0"/>
        <v>1232.3144814070292</v>
      </c>
      <c r="R15" s="33">
        <f t="shared" si="0"/>
        <v>3910.1034814070299</v>
      </c>
      <c r="S15" s="32">
        <f t="shared" si="0"/>
        <v>1095.9829302609669</v>
      </c>
      <c r="T15" s="32">
        <f t="shared" si="0"/>
        <v>1283.7680085987504</v>
      </c>
      <c r="U15" s="32">
        <f t="shared" si="0"/>
        <v>1512.6821622806674</v>
      </c>
      <c r="V15" s="32">
        <f t="shared" si="0"/>
        <v>1653.4246923111959</v>
      </c>
      <c r="W15" s="33">
        <f t="shared" si="0"/>
        <v>5545.8577934515815</v>
      </c>
    </row>
    <row r="16" spans="1:46" x14ac:dyDescent="0.25">
      <c r="B16" s="134" t="s">
        <v>115</v>
      </c>
      <c r="C16" s="110"/>
      <c r="D16" s="111">
        <f>+D15+D88+D90</f>
        <v>677.97699999999986</v>
      </c>
      <c r="E16" s="111">
        <f>+E15+E88+E90</f>
        <v>574.08099999999979</v>
      </c>
      <c r="F16" s="111">
        <f>+F15+F88+F90</f>
        <v>458.73100000000034</v>
      </c>
      <c r="G16" s="111">
        <f>+G15+G88+G90</f>
        <v>275.8260000000019</v>
      </c>
      <c r="H16" s="112">
        <f>SUM(D16:G16)</f>
        <v>1986.6150000000016</v>
      </c>
      <c r="I16" s="111">
        <f>+I15+I88+I90</f>
        <v>421.29000000000025</v>
      </c>
      <c r="J16" s="111">
        <f>+J15+J88+J90</f>
        <v>632.12800000000027</v>
      </c>
      <c r="K16" s="111">
        <f>+K15+K88+K90</f>
        <v>1492.3509999999999</v>
      </c>
      <c r="L16" s="111">
        <f>+L15+L88+L90</f>
        <v>1464.6979999999996</v>
      </c>
      <c r="M16" s="112">
        <f>SUM(I16:L16)</f>
        <v>4010.4669999999996</v>
      </c>
      <c r="N16" s="166">
        <f>+N15+N88+N90</f>
        <v>565.74299999999994</v>
      </c>
      <c r="O16" s="166">
        <f>+O15+O88+O90</f>
        <v>921.04600000000028</v>
      </c>
      <c r="P16" s="111">
        <f>+P15+P88+P90</f>
        <v>1191</v>
      </c>
      <c r="Q16" s="111">
        <f>+Q15+Q88+Q90</f>
        <v>1232.3144814070292</v>
      </c>
      <c r="R16" s="112">
        <f>SUM(N16:Q16)</f>
        <v>3910.1034814070294</v>
      </c>
      <c r="S16" s="111">
        <f>+S15+S88+S90</f>
        <v>1095.9829302609669</v>
      </c>
      <c r="T16" s="111">
        <f>+T15+T88+T90</f>
        <v>1283.7680085987504</v>
      </c>
      <c r="U16" s="111">
        <f>+U15+U88+U90</f>
        <v>1512.6821622806674</v>
      </c>
      <c r="V16" s="111">
        <f>+V15+V88+V90</f>
        <v>1653.4246923111959</v>
      </c>
      <c r="W16" s="112">
        <f>SUM(S16:V16)</f>
        <v>5545.8577934515806</v>
      </c>
    </row>
    <row r="17" spans="1:23" x14ac:dyDescent="0.25">
      <c r="B17" s="38" t="s">
        <v>47</v>
      </c>
      <c r="C17" s="57"/>
      <c r="D17" s="26">
        <v>322.04000000000002</v>
      </c>
      <c r="E17" s="26">
        <v>369.774</v>
      </c>
      <c r="F17" s="26">
        <v>331.62200000000001</v>
      </c>
      <c r="G17" s="26">
        <f>1378.073-F17-E17-D17</f>
        <v>354.637</v>
      </c>
      <c r="H17" s="27">
        <f>SUM(D17:G17)</f>
        <v>1378.0730000000001</v>
      </c>
      <c r="I17" s="26">
        <v>367.096</v>
      </c>
      <c r="J17" s="26">
        <v>386.12900000000002</v>
      </c>
      <c r="K17" s="26">
        <v>350.84800000000001</v>
      </c>
      <c r="L17" s="26">
        <f>1460.37-K17-J17-I17</f>
        <v>356.29699999999991</v>
      </c>
      <c r="M17" s="27">
        <f>SUM(I17:L17)</f>
        <v>1460.37</v>
      </c>
      <c r="N17" s="141">
        <v>340.17399999999998</v>
      </c>
      <c r="O17" s="141">
        <v>323.89800000000002</v>
      </c>
      <c r="P17" s="26">
        <v>334</v>
      </c>
      <c r="Q17" s="26">
        <f>Q13*Q99</f>
        <v>332.26920291242351</v>
      </c>
      <c r="R17" s="27">
        <f>SUM(N17:Q17)</f>
        <v>1330.3412029124236</v>
      </c>
      <c r="S17" s="26">
        <f>S13*S99</f>
        <v>331.56759161076485</v>
      </c>
      <c r="T17" s="26">
        <f>T13*T99</f>
        <v>338.01964419981311</v>
      </c>
      <c r="U17" s="26">
        <f>U13*U99</f>
        <v>395.421863048489</v>
      </c>
      <c r="V17" s="26">
        <f>V13*V99</f>
        <v>435.63754474269717</v>
      </c>
      <c r="W17" s="27">
        <f>SUM(S17:V17)</f>
        <v>1500.6466436017643</v>
      </c>
    </row>
    <row r="18" spans="1:23" ht="17.25" customHeight="1" x14ac:dyDescent="0.25">
      <c r="B18" s="38" t="s">
        <v>80</v>
      </c>
      <c r="C18" s="28"/>
      <c r="D18" s="26">
        <v>603.45500000000004</v>
      </c>
      <c r="E18" s="26">
        <v>537.75699999999995</v>
      </c>
      <c r="F18" s="26">
        <v>652.99800000000005</v>
      </c>
      <c r="G18" s="26">
        <f>2476.5-F18-E18-D18</f>
        <v>682.28999999999985</v>
      </c>
      <c r="H18" s="27">
        <f>SUM(D18:G18)</f>
        <v>2476.5</v>
      </c>
      <c r="I18" s="26">
        <v>686.404</v>
      </c>
      <c r="J18" s="26">
        <v>750.75900000000001</v>
      </c>
      <c r="K18" s="26">
        <v>729.87599999999998</v>
      </c>
      <c r="L18" s="26">
        <f>2834.491-K18-J18-I18</f>
        <v>667.45199999999977</v>
      </c>
      <c r="M18" s="27">
        <f>SUM(I18:L18)</f>
        <v>2834.4909999999995</v>
      </c>
      <c r="N18" s="141">
        <v>703.92899999999997</v>
      </c>
      <c r="O18" s="141">
        <v>647.26099999999997</v>
      </c>
      <c r="P18" s="26">
        <v>596</v>
      </c>
      <c r="Q18" s="26">
        <f>Q13*Q100</f>
        <v>620.06704797269083</v>
      </c>
      <c r="R18" s="27">
        <f>SUM(N18:Q18)</f>
        <v>2567.257047972691</v>
      </c>
      <c r="S18" s="26">
        <f>S13*S100</f>
        <v>620.9550408886804</v>
      </c>
      <c r="T18" s="26">
        <f>T13*T100</f>
        <v>630.79828373681835</v>
      </c>
      <c r="U18" s="26">
        <f>U13*U100</f>
        <v>679.03545549038233</v>
      </c>
      <c r="V18" s="26">
        <f>V13*V100</f>
        <v>735.31090211159676</v>
      </c>
      <c r="W18" s="27">
        <f>SUM(S18:V18)</f>
        <v>2666.0996822274783</v>
      </c>
    </row>
    <row r="19" spans="1:23" ht="17.25" customHeight="1" x14ac:dyDescent="0.4">
      <c r="B19" s="38" t="s">
        <v>81</v>
      </c>
      <c r="C19" s="28"/>
      <c r="D19" s="30">
        <v>0</v>
      </c>
      <c r="E19" s="30">
        <v>0</v>
      </c>
      <c r="F19" s="30">
        <v>0</v>
      </c>
      <c r="G19" s="30">
        <f>0-F19-E19-D19</f>
        <v>0</v>
      </c>
      <c r="H19" s="31">
        <f>SUM(D19:G19)</f>
        <v>0</v>
      </c>
      <c r="I19" s="30">
        <v>0</v>
      </c>
      <c r="J19" s="30">
        <v>103.434</v>
      </c>
      <c r="K19" s="30">
        <v>26.184000000000001</v>
      </c>
      <c r="L19" s="30">
        <f>135.233-K19-J19-I19</f>
        <v>5.6150000000000091</v>
      </c>
      <c r="M19" s="31">
        <f>SUM(I19:L19)</f>
        <v>135.233</v>
      </c>
      <c r="N19" s="146">
        <v>43.470999999999997</v>
      </c>
      <c r="O19" s="146">
        <v>117.345</v>
      </c>
      <c r="P19" s="146">
        <v>0</v>
      </c>
      <c r="Q19" s="45">
        <v>0</v>
      </c>
      <c r="R19" s="31">
        <f>SUM(N19:Q19)</f>
        <v>160.816</v>
      </c>
      <c r="S19" s="45">
        <v>0</v>
      </c>
      <c r="T19" s="45">
        <v>0</v>
      </c>
      <c r="U19" s="45">
        <v>0</v>
      </c>
      <c r="V19" s="45">
        <v>0</v>
      </c>
      <c r="W19" s="31">
        <f>SUM(S19:V19)</f>
        <v>0</v>
      </c>
    </row>
    <row r="20" spans="1:23" ht="17.25" customHeight="1" x14ac:dyDescent="0.4">
      <c r="B20" s="101" t="s">
        <v>53</v>
      </c>
      <c r="C20" s="28"/>
      <c r="D20" s="87">
        <f t="shared" ref="D20:W20" si="1">SUM(D17:D19)</f>
        <v>925.49500000000012</v>
      </c>
      <c r="E20" s="87">
        <f t="shared" si="1"/>
        <v>907.53099999999995</v>
      </c>
      <c r="F20" s="87">
        <f t="shared" si="1"/>
        <v>984.62000000000012</v>
      </c>
      <c r="G20" s="87">
        <f t="shared" si="1"/>
        <v>1036.9269999999999</v>
      </c>
      <c r="H20" s="88">
        <f t="shared" si="1"/>
        <v>3854.5730000000003</v>
      </c>
      <c r="I20" s="87">
        <f t="shared" si="1"/>
        <v>1053.5</v>
      </c>
      <c r="J20" s="87">
        <f t="shared" si="1"/>
        <v>1240.3219999999999</v>
      </c>
      <c r="K20" s="87">
        <f t="shared" si="1"/>
        <v>1106.9079999999999</v>
      </c>
      <c r="L20" s="87">
        <f t="shared" si="1"/>
        <v>1029.3639999999996</v>
      </c>
      <c r="M20" s="88">
        <f t="shared" si="1"/>
        <v>4430.0939999999991</v>
      </c>
      <c r="N20" s="167">
        <f t="shared" si="1"/>
        <v>1087.5740000000001</v>
      </c>
      <c r="O20" s="167">
        <f t="shared" si="1"/>
        <v>1088.5039999999999</v>
      </c>
      <c r="P20" s="87">
        <f t="shared" si="1"/>
        <v>930</v>
      </c>
      <c r="Q20" s="87">
        <f t="shared" si="1"/>
        <v>952.3362508851144</v>
      </c>
      <c r="R20" s="88">
        <f t="shared" si="1"/>
        <v>4058.4142508851146</v>
      </c>
      <c r="S20" s="87">
        <f t="shared" si="1"/>
        <v>952.52263249944531</v>
      </c>
      <c r="T20" s="87">
        <f t="shared" si="1"/>
        <v>968.81792793663146</v>
      </c>
      <c r="U20" s="87">
        <f t="shared" si="1"/>
        <v>1074.4573185388713</v>
      </c>
      <c r="V20" s="87">
        <f t="shared" si="1"/>
        <v>1170.9484468542939</v>
      </c>
      <c r="W20" s="88">
        <f t="shared" si="1"/>
        <v>4166.7463258292428</v>
      </c>
    </row>
    <row r="21" spans="1:23" x14ac:dyDescent="0.25">
      <c r="B21" s="102" t="s">
        <v>15</v>
      </c>
      <c r="C21" s="29"/>
      <c r="D21" s="32">
        <f t="shared" ref="D21:V21" si="2">D15-D20</f>
        <v>-257.54900000000021</v>
      </c>
      <c r="E21" s="32">
        <f t="shared" si="2"/>
        <v>-240.91600000000017</v>
      </c>
      <c r="F21" s="32">
        <f t="shared" si="2"/>
        <v>-535.47999999999979</v>
      </c>
      <c r="G21" s="32">
        <f t="shared" si="2"/>
        <v>-598.14099999999803</v>
      </c>
      <c r="H21" s="33">
        <f t="shared" si="2"/>
        <v>-1632.0859999999975</v>
      </c>
      <c r="I21" s="32">
        <f t="shared" si="2"/>
        <v>-596.97399999999971</v>
      </c>
      <c r="J21" s="32">
        <f t="shared" si="2"/>
        <v>-621.3919999999996</v>
      </c>
      <c r="K21" s="32">
        <f t="shared" si="2"/>
        <v>416.75700000000006</v>
      </c>
      <c r="L21" s="32">
        <f t="shared" si="2"/>
        <v>413.53600000000006</v>
      </c>
      <c r="M21" s="33">
        <f t="shared" si="2"/>
        <v>-388.0729999999985</v>
      </c>
      <c r="N21" s="143">
        <f t="shared" si="2"/>
        <v>-521.83100000000013</v>
      </c>
      <c r="O21" s="143">
        <f t="shared" si="2"/>
        <v>-167.45799999999963</v>
      </c>
      <c r="P21" s="143">
        <f t="shared" si="2"/>
        <v>261</v>
      </c>
      <c r="Q21" s="143">
        <f t="shared" si="2"/>
        <v>279.97823052191484</v>
      </c>
      <c r="R21" s="33">
        <f t="shared" si="2"/>
        <v>-148.31076947808469</v>
      </c>
      <c r="S21" s="32">
        <f t="shared" si="2"/>
        <v>143.46029776152159</v>
      </c>
      <c r="T21" s="32">
        <f t="shared" si="2"/>
        <v>314.95008066211892</v>
      </c>
      <c r="U21" s="32">
        <f t="shared" si="2"/>
        <v>438.22484374179612</v>
      </c>
      <c r="V21" s="32">
        <f t="shared" si="2"/>
        <v>482.47624545690201</v>
      </c>
      <c r="W21" s="33">
        <f>W15-W20</f>
        <v>1379.1114676223388</v>
      </c>
    </row>
    <row r="22" spans="1:23" x14ac:dyDescent="0.25">
      <c r="B22" s="61" t="s">
        <v>82</v>
      </c>
      <c r="C22" s="28"/>
      <c r="D22" s="26">
        <v>3.09</v>
      </c>
      <c r="E22" s="26">
        <v>4.7850000000000001</v>
      </c>
      <c r="F22" s="26">
        <v>5.5309999999999997</v>
      </c>
      <c r="G22" s="26">
        <f>19.686-F22-E22-D22</f>
        <v>6.2800000000000011</v>
      </c>
      <c r="H22" s="27">
        <f t="shared" ref="H22" si="3">SUM(D22:G22)</f>
        <v>19.686</v>
      </c>
      <c r="I22" s="26">
        <v>5.2140000000000004</v>
      </c>
      <c r="J22" s="26">
        <v>5.0640000000000001</v>
      </c>
      <c r="K22" s="26">
        <v>6.907</v>
      </c>
      <c r="L22" s="26">
        <f>24.533-K22-J22-I22</f>
        <v>7.3480000000000008</v>
      </c>
      <c r="M22" s="27">
        <f t="shared" ref="M22:M23" si="4">SUM(I22:L22)</f>
        <v>24.533000000000001</v>
      </c>
      <c r="N22" s="141">
        <v>8.7620000000000005</v>
      </c>
      <c r="O22" s="141">
        <v>10.362</v>
      </c>
      <c r="P22" s="141">
        <v>15</v>
      </c>
      <c r="Q22" s="47">
        <f>P22</f>
        <v>15</v>
      </c>
      <c r="R22" s="27">
        <f t="shared" ref="R22:R23" si="5">SUM(N22:Q22)</f>
        <v>49.124000000000002</v>
      </c>
      <c r="S22" s="47">
        <f>Q22</f>
        <v>15</v>
      </c>
      <c r="T22" s="47">
        <f>S22</f>
        <v>15</v>
      </c>
      <c r="U22" s="47">
        <f t="shared" ref="U22:V22" si="6">T22</f>
        <v>15</v>
      </c>
      <c r="V22" s="47">
        <f t="shared" si="6"/>
        <v>15</v>
      </c>
      <c r="W22" s="27">
        <f t="shared" ref="W22:W23" si="7">SUM(S22:V22)</f>
        <v>60</v>
      </c>
    </row>
    <row r="23" spans="1:23" x14ac:dyDescent="0.25">
      <c r="B23" s="61" t="s">
        <v>19</v>
      </c>
      <c r="C23" s="55"/>
      <c r="D23" s="26">
        <v>-99.346000000000004</v>
      </c>
      <c r="E23" s="26">
        <v>-108.441</v>
      </c>
      <c r="F23" s="26">
        <v>-117.10899999999999</v>
      </c>
      <c r="G23" s="26">
        <f>-471.259-F23-E23-D23</f>
        <v>-146.36300000000003</v>
      </c>
      <c r="H23" s="27">
        <f t="shared" ref="H23" si="8">SUM(D23:G23)</f>
        <v>-471.25900000000001</v>
      </c>
      <c r="I23" s="26">
        <v>-149.54599999999999</v>
      </c>
      <c r="J23" s="26">
        <v>-163.58199999999999</v>
      </c>
      <c r="K23" s="26">
        <v>-175.22</v>
      </c>
      <c r="L23" s="26">
        <f>-663.071-K23-J23-I23</f>
        <v>-174.72300000000001</v>
      </c>
      <c r="M23" s="27">
        <f t="shared" si="4"/>
        <v>-663.07099999999991</v>
      </c>
      <c r="N23" s="141">
        <v>-157.453</v>
      </c>
      <c r="O23" s="141">
        <v>-171.97900000000001</v>
      </c>
      <c r="P23" s="141">
        <v>-185</v>
      </c>
      <c r="Q23" s="47">
        <f>P23</f>
        <v>-185</v>
      </c>
      <c r="R23" s="27">
        <f t="shared" si="5"/>
        <v>-699.43200000000002</v>
      </c>
      <c r="S23" s="47">
        <f>Q23+1</f>
        <v>-184</v>
      </c>
      <c r="T23" s="47">
        <f>S23+1</f>
        <v>-183</v>
      </c>
      <c r="U23" s="47">
        <f t="shared" ref="U23:V23" si="9">T23+1</f>
        <v>-182</v>
      </c>
      <c r="V23" s="47">
        <f t="shared" si="9"/>
        <v>-181</v>
      </c>
      <c r="W23" s="27">
        <f t="shared" si="7"/>
        <v>-730</v>
      </c>
    </row>
    <row r="24" spans="1:23" ht="17.25" x14ac:dyDescent="0.4">
      <c r="B24" s="61" t="s">
        <v>83</v>
      </c>
      <c r="C24" s="55"/>
      <c r="D24" s="30">
        <v>-18.097999999999999</v>
      </c>
      <c r="E24" s="30">
        <v>-41.207999999999998</v>
      </c>
      <c r="F24" s="30">
        <v>-24.39</v>
      </c>
      <c r="G24" s="30">
        <f>-125.373-F24-E24-D24</f>
        <v>-41.677000000000007</v>
      </c>
      <c r="H24" s="31">
        <f t="shared" ref="H24" si="10">SUM(D24:G24)</f>
        <v>-125.373</v>
      </c>
      <c r="I24" s="30">
        <v>-37.716000000000001</v>
      </c>
      <c r="J24" s="30">
        <v>50.911000000000001</v>
      </c>
      <c r="K24" s="30">
        <v>22.876000000000001</v>
      </c>
      <c r="L24" s="30">
        <f>21.866-K24-J24-I24</f>
        <v>-14.205000000000005</v>
      </c>
      <c r="M24" s="31">
        <f t="shared" ref="M24" si="11">SUM(I24:L24)</f>
        <v>21.865999999999993</v>
      </c>
      <c r="N24" s="146">
        <v>25.75</v>
      </c>
      <c r="O24" s="146">
        <v>-40.756</v>
      </c>
      <c r="P24" s="146">
        <v>85</v>
      </c>
      <c r="Q24" s="45">
        <v>25</v>
      </c>
      <c r="R24" s="31">
        <f t="shared" ref="R24" si="12">SUM(N24:Q24)</f>
        <v>94.994</v>
      </c>
      <c r="S24" s="45">
        <f>AVERAGE(N24:Q24)</f>
        <v>23.7485</v>
      </c>
      <c r="T24" s="45">
        <f>S24</f>
        <v>23.7485</v>
      </c>
      <c r="U24" s="45">
        <f>T24</f>
        <v>23.7485</v>
      </c>
      <c r="V24" s="45">
        <f>U24</f>
        <v>23.7485</v>
      </c>
      <c r="W24" s="31">
        <f t="shared" ref="W24" si="13">SUM(S24:V24)</f>
        <v>94.994</v>
      </c>
    </row>
    <row r="25" spans="1:23" x14ac:dyDescent="0.25">
      <c r="B25" s="279" t="s">
        <v>16</v>
      </c>
      <c r="C25" s="280"/>
      <c r="D25" s="32">
        <f t="shared" ref="D25:W25" si="14">D21+(SUM(D22:D24))</f>
        <v>-371.90300000000019</v>
      </c>
      <c r="E25" s="32">
        <f t="shared" si="14"/>
        <v>-385.7800000000002</v>
      </c>
      <c r="F25" s="32">
        <f t="shared" si="14"/>
        <v>-671.44799999999975</v>
      </c>
      <c r="G25" s="32">
        <f t="shared" si="14"/>
        <v>-779.90099999999802</v>
      </c>
      <c r="H25" s="33">
        <f t="shared" si="14"/>
        <v>-2209.0319999999974</v>
      </c>
      <c r="I25" s="32">
        <f t="shared" si="14"/>
        <v>-779.02199999999971</v>
      </c>
      <c r="J25" s="32">
        <f t="shared" si="14"/>
        <v>-728.99899999999957</v>
      </c>
      <c r="K25" s="32">
        <f t="shared" si="14"/>
        <v>271.32000000000005</v>
      </c>
      <c r="L25" s="32">
        <f t="shared" si="14"/>
        <v>231.95600000000005</v>
      </c>
      <c r="M25" s="33">
        <f t="shared" si="14"/>
        <v>-1004.7449999999984</v>
      </c>
      <c r="N25" s="143">
        <f t="shared" si="14"/>
        <v>-644.77200000000016</v>
      </c>
      <c r="O25" s="143">
        <f>O21+(SUM(O22:O24))</f>
        <v>-369.83099999999968</v>
      </c>
      <c r="P25" s="32">
        <f t="shared" si="14"/>
        <v>176</v>
      </c>
      <c r="Q25" s="32">
        <f t="shared" si="14"/>
        <v>134.97823052191484</v>
      </c>
      <c r="R25" s="33">
        <f t="shared" si="14"/>
        <v>-703.62476947808466</v>
      </c>
      <c r="S25" s="32">
        <f t="shared" si="14"/>
        <v>-1.7912022384784052</v>
      </c>
      <c r="T25" s="32">
        <f t="shared" si="14"/>
        <v>170.69858066211893</v>
      </c>
      <c r="U25" s="32">
        <f t="shared" si="14"/>
        <v>294.97334374179616</v>
      </c>
      <c r="V25" s="32">
        <f t="shared" si="14"/>
        <v>340.22474545690204</v>
      </c>
      <c r="W25" s="33">
        <f t="shared" si="14"/>
        <v>804.10546762233878</v>
      </c>
    </row>
    <row r="26" spans="1:23" ht="17.25" x14ac:dyDescent="0.4">
      <c r="B26" s="277" t="s">
        <v>6</v>
      </c>
      <c r="C26" s="278"/>
      <c r="D26" s="30">
        <v>25.277999999999999</v>
      </c>
      <c r="E26" s="30">
        <v>15.647</v>
      </c>
      <c r="F26" s="30">
        <v>-0.28499999999999998</v>
      </c>
      <c r="G26" s="30">
        <f>31.546-F26-E26-D26</f>
        <v>-9.0940000000000012</v>
      </c>
      <c r="H26" s="31">
        <f>SUM(D26:G26)</f>
        <v>31.545999999999999</v>
      </c>
      <c r="I26" s="30">
        <v>5.6050000000000004</v>
      </c>
      <c r="J26" s="30">
        <v>13.707000000000001</v>
      </c>
      <c r="K26" s="30">
        <v>16.646999999999998</v>
      </c>
      <c r="L26" s="30">
        <f>57.837-K26-J26-I26</f>
        <v>21.878000000000004</v>
      </c>
      <c r="M26" s="31">
        <f>SUM(I26:L26)</f>
        <v>57.837000000000003</v>
      </c>
      <c r="N26" s="146">
        <v>22.873000000000001</v>
      </c>
      <c r="O26" s="146">
        <v>19.431000000000001</v>
      </c>
      <c r="P26" s="146">
        <v>26</v>
      </c>
      <c r="Q26" s="146">
        <f>Q25*Q101</f>
        <v>19.939965872555604</v>
      </c>
      <c r="R26" s="31">
        <f>SUM(N26:Q26)</f>
        <v>88.243965872555606</v>
      </c>
      <c r="S26" s="30">
        <f>S25*S101</f>
        <v>-0.26908742718959677</v>
      </c>
      <c r="T26" s="30">
        <f>T25*T101</f>
        <v>26.070328682941803</v>
      </c>
      <c r="U26" s="30">
        <f>U25*U101</f>
        <v>45.787907676283361</v>
      </c>
      <c r="V26" s="30">
        <f>V25*V101</f>
        <v>53.662721215247736</v>
      </c>
      <c r="W26" s="31">
        <f>SUM(S26:V26)</f>
        <v>125.25187014728331</v>
      </c>
    </row>
    <row r="27" spans="1:23" s="19" customFormat="1" ht="17.25" x14ac:dyDescent="0.4">
      <c r="B27" s="273" t="s">
        <v>49</v>
      </c>
      <c r="C27" s="274"/>
      <c r="D27" s="87">
        <f>D25-D26</f>
        <v>-397.18100000000021</v>
      </c>
      <c r="E27" s="87">
        <f t="shared" ref="E27:W27" si="15">E25-E26</f>
        <v>-401.42700000000019</v>
      </c>
      <c r="F27" s="87">
        <f t="shared" si="15"/>
        <v>-671.16299999999978</v>
      </c>
      <c r="G27" s="87">
        <f t="shared" si="15"/>
        <v>-770.80699999999797</v>
      </c>
      <c r="H27" s="88">
        <f t="shared" si="15"/>
        <v>-2240.5779999999972</v>
      </c>
      <c r="I27" s="87">
        <f t="shared" si="15"/>
        <v>-784.62699999999973</v>
      </c>
      <c r="J27" s="87">
        <f t="shared" si="15"/>
        <v>-742.70599999999956</v>
      </c>
      <c r="K27" s="87">
        <f t="shared" si="15"/>
        <v>254.67300000000006</v>
      </c>
      <c r="L27" s="87">
        <f t="shared" si="15"/>
        <v>210.07800000000003</v>
      </c>
      <c r="M27" s="88">
        <f t="shared" si="15"/>
        <v>-1062.5819999999985</v>
      </c>
      <c r="N27" s="167">
        <f t="shared" si="15"/>
        <v>-667.64500000000021</v>
      </c>
      <c r="O27" s="167">
        <f t="shared" si="15"/>
        <v>-389.26199999999966</v>
      </c>
      <c r="P27" s="87">
        <f t="shared" si="15"/>
        <v>150</v>
      </c>
      <c r="Q27" s="87">
        <f t="shared" si="15"/>
        <v>115.03826464935923</v>
      </c>
      <c r="R27" s="88">
        <f t="shared" si="15"/>
        <v>-791.86873535064024</v>
      </c>
      <c r="S27" s="87">
        <f t="shared" si="15"/>
        <v>-1.5221148112888083</v>
      </c>
      <c r="T27" s="87">
        <f t="shared" si="15"/>
        <v>144.62825197917712</v>
      </c>
      <c r="U27" s="87">
        <f t="shared" si="15"/>
        <v>249.18543606551279</v>
      </c>
      <c r="V27" s="87">
        <f t="shared" si="15"/>
        <v>286.56202424165429</v>
      </c>
      <c r="W27" s="88">
        <f t="shared" si="15"/>
        <v>678.85359747505549</v>
      </c>
    </row>
    <row r="28" spans="1:23" ht="17.25" x14ac:dyDescent="0.4">
      <c r="B28" s="277" t="s">
        <v>84</v>
      </c>
      <c r="C28" s="278"/>
      <c r="D28" s="30">
        <v>-66.903999999999996</v>
      </c>
      <c r="E28" s="30">
        <v>-65.03</v>
      </c>
      <c r="F28" s="30">
        <v>-51.786999999999999</v>
      </c>
      <c r="G28" s="30">
        <f>-279.178-F28-E28-D28</f>
        <v>-95.456999999999994</v>
      </c>
      <c r="H28" s="31">
        <f>SUM(D28:G28)</f>
        <v>-279.178</v>
      </c>
      <c r="I28" s="30">
        <v>-75.075999999999993</v>
      </c>
      <c r="J28" s="30">
        <v>-25.167000000000002</v>
      </c>
      <c r="K28" s="30">
        <v>-56.843000000000004</v>
      </c>
      <c r="L28" s="30">
        <f>-86.491-K28-J28-I28</f>
        <v>70.594999999999999</v>
      </c>
      <c r="M28" s="31">
        <f>SUM(I28:L28)</f>
        <v>-86.491000000000014</v>
      </c>
      <c r="N28" s="146">
        <v>34.49</v>
      </c>
      <c r="O28" s="146">
        <v>19.071999999999999</v>
      </c>
      <c r="P28" s="146">
        <v>7</v>
      </c>
      <c r="Q28" s="45">
        <f t="shared" ref="Q28" si="16">0.06*Q27</f>
        <v>6.9022958789615538</v>
      </c>
      <c r="R28" s="31">
        <f>SUM(N28:Q28)</f>
        <v>67.464295878961551</v>
      </c>
      <c r="S28" s="45">
        <f>0.06*S27</f>
        <v>-9.1326888677328494E-2</v>
      </c>
      <c r="T28" s="45">
        <f>0.06*T27</f>
        <v>8.677695118750627</v>
      </c>
      <c r="U28" s="45">
        <f t="shared" ref="U28" si="17">0.06*U27</f>
        <v>14.951126163930766</v>
      </c>
      <c r="V28" s="45">
        <f t="shared" ref="V28" si="18">0.06*V27</f>
        <v>17.193721454499258</v>
      </c>
      <c r="W28" s="31">
        <f>SUM(S28:V28)</f>
        <v>40.731215848503325</v>
      </c>
    </row>
    <row r="29" spans="1:23" x14ac:dyDescent="0.25">
      <c r="A29" s="34"/>
      <c r="B29" s="273" t="s">
        <v>85</v>
      </c>
      <c r="C29" s="274"/>
      <c r="D29" s="32">
        <f>+D27-D28</f>
        <v>-330.27700000000021</v>
      </c>
      <c r="E29" s="32">
        <f t="shared" ref="E29:W29" si="19">+E27-E28</f>
        <v>-336.39700000000016</v>
      </c>
      <c r="F29" s="32">
        <f t="shared" si="19"/>
        <v>-619.37599999999975</v>
      </c>
      <c r="G29" s="32">
        <f t="shared" si="19"/>
        <v>-675.34999999999798</v>
      </c>
      <c r="H29" s="33">
        <f t="shared" si="19"/>
        <v>-1961.3999999999974</v>
      </c>
      <c r="I29" s="32">
        <f t="shared" si="19"/>
        <v>-709.5509999999997</v>
      </c>
      <c r="J29" s="32">
        <f t="shared" si="19"/>
        <v>-717.53899999999953</v>
      </c>
      <c r="K29" s="32">
        <f t="shared" si="19"/>
        <v>311.51600000000008</v>
      </c>
      <c r="L29" s="32">
        <f t="shared" si="19"/>
        <v>139.48300000000003</v>
      </c>
      <c r="M29" s="33">
        <f t="shared" si="19"/>
        <v>-976.09099999999853</v>
      </c>
      <c r="N29" s="143">
        <f>+N27-N28</f>
        <v>-702.13500000000022</v>
      </c>
      <c r="O29" s="143">
        <f t="shared" si="19"/>
        <v>-408.33399999999966</v>
      </c>
      <c r="P29" s="32">
        <f t="shared" si="19"/>
        <v>143</v>
      </c>
      <c r="Q29" s="32">
        <f t="shared" si="19"/>
        <v>108.13596877039768</v>
      </c>
      <c r="R29" s="33">
        <f t="shared" si="19"/>
        <v>-859.33303122960183</v>
      </c>
      <c r="S29" s="32">
        <f t="shared" si="19"/>
        <v>-1.4307879226114799</v>
      </c>
      <c r="T29" s="32">
        <f t="shared" si="19"/>
        <v>135.9505568604265</v>
      </c>
      <c r="U29" s="32">
        <f t="shared" si="19"/>
        <v>234.23430990158204</v>
      </c>
      <c r="V29" s="32">
        <f t="shared" si="19"/>
        <v>269.36830278715502</v>
      </c>
      <c r="W29" s="33">
        <f t="shared" si="19"/>
        <v>638.12238162655217</v>
      </c>
    </row>
    <row r="30" spans="1:23" ht="17.25" x14ac:dyDescent="0.4">
      <c r="A30" s="34"/>
      <c r="B30" s="282" t="s">
        <v>132</v>
      </c>
      <c r="C30" s="283"/>
      <c r="D30" s="32"/>
      <c r="E30" s="32"/>
      <c r="F30" s="32"/>
      <c r="G30" s="32"/>
      <c r="H30" s="33"/>
      <c r="I30" s="32"/>
      <c r="J30" s="32"/>
      <c r="K30" s="32"/>
      <c r="L30" s="32"/>
      <c r="M30" s="33"/>
      <c r="N30" s="146">
        <v>-7.6</v>
      </c>
      <c r="O30" s="146">
        <v>0</v>
      </c>
      <c r="P30" s="146">
        <v>0</v>
      </c>
      <c r="Q30" s="45">
        <f>AVERAGE(O30,P30)</f>
        <v>0</v>
      </c>
      <c r="R30" s="31">
        <f>SUM(N30:Q30)</f>
        <v>-7.6</v>
      </c>
      <c r="S30" s="45">
        <f>AVERAGE(Q30,P30)</f>
        <v>0</v>
      </c>
      <c r="T30" s="45">
        <f>AVERAGE(Q30,S30)</f>
        <v>0</v>
      </c>
      <c r="U30" s="45">
        <f>AVERAGE(S30,T30)</f>
        <v>0</v>
      </c>
      <c r="V30" s="45">
        <f>AVERAGE(T30,U30)</f>
        <v>0</v>
      </c>
      <c r="W30" s="31">
        <f>SUM(S30:V30)</f>
        <v>0</v>
      </c>
    </row>
    <row r="31" spans="1:23" x14ac:dyDescent="0.25">
      <c r="A31" s="34"/>
      <c r="B31" s="273" t="s">
        <v>133</v>
      </c>
      <c r="C31" s="274"/>
      <c r="D31" s="32"/>
      <c r="E31" s="32"/>
      <c r="F31" s="32"/>
      <c r="G31" s="32"/>
      <c r="H31" s="33"/>
      <c r="I31" s="32"/>
      <c r="J31" s="32"/>
      <c r="K31" s="32"/>
      <c r="L31" s="32"/>
      <c r="M31" s="33"/>
      <c r="N31" s="143">
        <f>+N29+N30</f>
        <v>-709.73500000000024</v>
      </c>
      <c r="O31" s="143">
        <f>+O29+O30</f>
        <v>-408.33399999999966</v>
      </c>
      <c r="P31" s="32">
        <f t="shared" ref="P31:R31" si="20">+P29+P30</f>
        <v>143</v>
      </c>
      <c r="Q31" s="32">
        <f t="shared" si="20"/>
        <v>108.13596877039768</v>
      </c>
      <c r="R31" s="33">
        <f t="shared" si="20"/>
        <v>-866.93303122960185</v>
      </c>
      <c r="S31" s="32">
        <f t="shared" ref="S31" si="21">+S29+S30</f>
        <v>-1.4307879226114799</v>
      </c>
      <c r="T31" s="32">
        <f t="shared" ref="T31" si="22">+T29+T30</f>
        <v>135.9505568604265</v>
      </c>
      <c r="U31" s="32">
        <f>+U29+U30</f>
        <v>234.23430990158204</v>
      </c>
      <c r="V31" s="32">
        <f t="shared" ref="V31" si="23">+V29+V30</f>
        <v>269.36830278715502</v>
      </c>
      <c r="W31" s="33">
        <f>+W29+W30</f>
        <v>638.12238162655217</v>
      </c>
    </row>
    <row r="32" spans="1:23" x14ac:dyDescent="0.25">
      <c r="B32" s="113" t="s">
        <v>51</v>
      </c>
      <c r="C32" s="110"/>
      <c r="D32" s="111">
        <f>+D29+D89+D91+D93</f>
        <v>-214.98900000000023</v>
      </c>
      <c r="E32" s="111">
        <f>+E29+E89+E91+E93</f>
        <v>-220.35500000000016</v>
      </c>
      <c r="F32" s="111">
        <f>+F29+F89+F91+F93</f>
        <v>-488.49799999999971</v>
      </c>
      <c r="G32" s="111">
        <f>+G29+G89+G91+G93</f>
        <v>-513.05199999999786</v>
      </c>
      <c r="H32" s="112">
        <f>+SUM(D32:G32)</f>
        <v>-1436.893999999998</v>
      </c>
      <c r="I32" s="111">
        <f>+I29+I89+I91+I93</f>
        <v>-567.91199999999969</v>
      </c>
      <c r="J32" s="111">
        <f>+J29+J89+J91+J93</f>
        <v>-520.19499999999948</v>
      </c>
      <c r="K32" s="111">
        <f>+K29+K89+K91+K93</f>
        <v>516.24400000000014</v>
      </c>
      <c r="L32" s="111">
        <f>+L29+L89+L91+L93</f>
        <v>344.79600000000005</v>
      </c>
      <c r="M32" s="112">
        <f>+SUM(I32:L32)</f>
        <v>-227.06699999999887</v>
      </c>
      <c r="N32" s="166">
        <f>+N29+N89+N91+N93+N92</f>
        <v>-493.75700000000023</v>
      </c>
      <c r="O32" s="166">
        <f>+O29+O89+O91+O93+O92</f>
        <v>-198.47099999999966</v>
      </c>
      <c r="P32" s="111">
        <f>+P29+P89+P91+P93+P92</f>
        <v>342</v>
      </c>
      <c r="Q32" s="111">
        <f>+Q29+Q89+Q91+Q93+Q92</f>
        <v>312.56746877039768</v>
      </c>
      <c r="R32" s="112">
        <f>+SUM(N32:Q32)</f>
        <v>-37.660531229602157</v>
      </c>
      <c r="S32" s="111">
        <f>+S29+S89+S91+S93+S92</f>
        <v>203.00071207738853</v>
      </c>
      <c r="T32" s="111">
        <f>+T29+T89+T91+T93+T92</f>
        <v>340.38205686042647</v>
      </c>
      <c r="U32" s="111">
        <f>+U29+U89+U91+U93+U92</f>
        <v>438.66580990158207</v>
      </c>
      <c r="V32" s="111">
        <f>+V29+V89+V91+V93+V92</f>
        <v>473.79980278715504</v>
      </c>
      <c r="W32" s="112">
        <f>+SUM(S32:V32)</f>
        <v>1455.8483816265521</v>
      </c>
    </row>
    <row r="33" spans="1:23" x14ac:dyDescent="0.25">
      <c r="B33" s="255" t="s">
        <v>0</v>
      </c>
      <c r="C33" s="256"/>
      <c r="D33" s="26">
        <v>162.12899999999999</v>
      </c>
      <c r="E33" s="26">
        <v>165.21199999999999</v>
      </c>
      <c r="F33" s="26">
        <v>167.29400000000001</v>
      </c>
      <c r="G33" s="26">
        <v>168.31399999999999</v>
      </c>
      <c r="H33" s="27">
        <v>165.75800000000001</v>
      </c>
      <c r="I33" s="26">
        <v>169.14599999999999</v>
      </c>
      <c r="J33" s="26">
        <v>169.99700000000001</v>
      </c>
      <c r="K33" s="26">
        <v>170.893</v>
      </c>
      <c r="L33" s="26">
        <v>172.02600000000001</v>
      </c>
      <c r="M33" s="27">
        <v>170.52500000000001</v>
      </c>
      <c r="N33" s="141">
        <v>172.989</v>
      </c>
      <c r="O33" s="141">
        <v>176.654</v>
      </c>
      <c r="P33" s="26">
        <v>179</v>
      </c>
      <c r="Q33" s="26">
        <f>P33*(1+Q103)-Q107</f>
        <v>181.39051556372939</v>
      </c>
      <c r="R33" s="152">
        <f>+(N31/R31*N33)+(O31/R31*O33)+(P31/R31*P33)+(Q31/R31*Q33)</f>
        <v>172.67578674725516</v>
      </c>
      <c r="S33" s="26">
        <f>Q33*(1+S103)-S107</f>
        <v>184.28196208039873</v>
      </c>
      <c r="T33" s="26">
        <f>S33*(1+T103)-T107</f>
        <v>186.89725995297019</v>
      </c>
      <c r="U33" s="26">
        <f>T33*(1+U103)-U107</f>
        <v>189.6064674209087</v>
      </c>
      <c r="V33" s="26">
        <f>U33*(1+V103)-V107</f>
        <v>191.72190596198104</v>
      </c>
      <c r="W33" s="152">
        <f>+(S31/W31*S33)+(T31/W31*T33)+(U31/W31*U33)+(V31/W31*V33)</f>
        <v>189.93419775837862</v>
      </c>
    </row>
    <row r="34" spans="1:23" ht="15.75" customHeight="1" x14ac:dyDescent="0.25">
      <c r="B34" s="255" t="s">
        <v>1</v>
      </c>
      <c r="C34" s="256"/>
      <c r="D34" s="26">
        <v>162.12899999999999</v>
      </c>
      <c r="E34" s="26">
        <v>165.21199999999999</v>
      </c>
      <c r="F34" s="26">
        <v>167.29400000000001</v>
      </c>
      <c r="G34" s="26">
        <v>168.31399999999999</v>
      </c>
      <c r="H34" s="27">
        <v>165.75800000000001</v>
      </c>
      <c r="I34" s="26">
        <v>169.14599999999999</v>
      </c>
      <c r="J34" s="26">
        <v>169.99700000000001</v>
      </c>
      <c r="K34" s="26">
        <v>178.196</v>
      </c>
      <c r="L34" s="26">
        <v>179.02600000000001</v>
      </c>
      <c r="M34" s="27">
        <v>170.52500000000001</v>
      </c>
      <c r="N34" s="141">
        <v>172.989</v>
      </c>
      <c r="O34" s="141">
        <v>176.654</v>
      </c>
      <c r="P34" s="26">
        <v>184</v>
      </c>
      <c r="Q34" s="26">
        <f>P34*(1+Q104)-Q107</f>
        <v>185.78167646962964</v>
      </c>
      <c r="R34" s="152">
        <f>+(N31/R31*N34)+(O31/R31*O34)+(P31/R31*P34)+(Q31/R31*Q34)</f>
        <v>171.30331344686812</v>
      </c>
      <c r="S34" s="26">
        <f>Q34*(1+S104)-S107</f>
        <v>190.26851798148371</v>
      </c>
      <c r="T34" s="26">
        <f>S34*(1+T104)-T107</f>
        <v>195.05176006377883</v>
      </c>
      <c r="U34" s="26">
        <f>T34*(1+U104)-U107</f>
        <v>198.88606196459145</v>
      </c>
      <c r="V34" s="26">
        <f>U34*(1+V104)-V107</f>
        <v>203.45702391400098</v>
      </c>
      <c r="W34" s="152">
        <f>+(S31/W31*S34)+(T31/W31*T34)+(U31/W31*U34)+(V31/W31*V34)</f>
        <v>200.01801828281845</v>
      </c>
    </row>
    <row r="35" spans="1:23" ht="15.75" customHeight="1" x14ac:dyDescent="0.25">
      <c r="B35" s="271" t="s">
        <v>7</v>
      </c>
      <c r="C35" s="272"/>
      <c r="D35" s="35">
        <f t="shared" ref="D35:M35" si="24">D29/D33</f>
        <v>-2.037124758679818</v>
      </c>
      <c r="E35" s="35">
        <f t="shared" si="24"/>
        <v>-2.0361535481684152</v>
      </c>
      <c r="F35" s="35">
        <f t="shared" si="24"/>
        <v>-3.702320465766852</v>
      </c>
      <c r="G35" s="35">
        <f t="shared" si="24"/>
        <v>-4.0124410328314815</v>
      </c>
      <c r="H35" s="36">
        <f t="shared" si="24"/>
        <v>-11.832913041904446</v>
      </c>
      <c r="I35" s="35">
        <f t="shared" si="24"/>
        <v>-4.1949026284984559</v>
      </c>
      <c r="J35" s="35">
        <f t="shared" si="24"/>
        <v>-4.2208921333905858</v>
      </c>
      <c r="K35" s="35">
        <f t="shared" si="24"/>
        <v>1.8228716214239324</v>
      </c>
      <c r="L35" s="35">
        <f t="shared" si="24"/>
        <v>0.81082510783253703</v>
      </c>
      <c r="M35" s="36">
        <f t="shared" si="24"/>
        <v>-5.7240345990323913</v>
      </c>
      <c r="N35" s="168">
        <f>N31/N33</f>
        <v>-4.1027753209741675</v>
      </c>
      <c r="O35" s="168">
        <f>O31/O33</f>
        <v>-2.3114902577920664</v>
      </c>
      <c r="P35" s="35">
        <f t="shared" ref="P35:Q35" si="25">P31/P33</f>
        <v>0.7988826815642458</v>
      </c>
      <c r="Q35" s="35">
        <f t="shared" si="25"/>
        <v>0.59615007121144326</v>
      </c>
      <c r="R35" s="36">
        <f t="shared" ref="R35" si="26">R31/R33</f>
        <v>-5.0205824890696933</v>
      </c>
      <c r="S35" s="35">
        <f t="shared" ref="S35:W35" si="27">S31/S33</f>
        <v>-7.7641235553333986E-3</v>
      </c>
      <c r="T35" s="35">
        <f t="shared" si="27"/>
        <v>0.72740797213739983</v>
      </c>
      <c r="U35" s="35">
        <f t="shared" si="27"/>
        <v>1.2353708873316209</v>
      </c>
      <c r="V35" s="35">
        <f t="shared" si="27"/>
        <v>1.4049949140426941</v>
      </c>
      <c r="W35" s="36">
        <f t="shared" si="27"/>
        <v>3.3597024082957829</v>
      </c>
    </row>
    <row r="36" spans="1:23" x14ac:dyDescent="0.25">
      <c r="B36" s="271" t="s">
        <v>8</v>
      </c>
      <c r="C36" s="272"/>
      <c r="D36" s="35">
        <f t="shared" ref="D36:M36" si="28">D29/D34</f>
        <v>-2.037124758679818</v>
      </c>
      <c r="E36" s="35">
        <f t="shared" si="28"/>
        <v>-2.0361535481684152</v>
      </c>
      <c r="F36" s="35">
        <f t="shared" si="28"/>
        <v>-3.702320465766852</v>
      </c>
      <c r="G36" s="35">
        <f t="shared" si="28"/>
        <v>-4.0124410328314815</v>
      </c>
      <c r="H36" s="36">
        <f t="shared" si="28"/>
        <v>-11.832913041904446</v>
      </c>
      <c r="I36" s="35">
        <f t="shared" si="28"/>
        <v>-4.1949026284984559</v>
      </c>
      <c r="J36" s="35">
        <f t="shared" si="28"/>
        <v>-4.2208921333905858</v>
      </c>
      <c r="K36" s="35">
        <f t="shared" si="28"/>
        <v>1.7481649419740066</v>
      </c>
      <c r="L36" s="35">
        <f t="shared" si="28"/>
        <v>0.77912146839006635</v>
      </c>
      <c r="M36" s="36">
        <f t="shared" si="28"/>
        <v>-5.7240345990323913</v>
      </c>
      <c r="N36" s="168">
        <f>N31/N34</f>
        <v>-4.1027753209741675</v>
      </c>
      <c r="O36" s="168">
        <f>O31/O34</f>
        <v>-2.3114902577920664</v>
      </c>
      <c r="P36" s="35">
        <f t="shared" ref="P36:Q36" si="29">P31/P34</f>
        <v>0.77717391304347827</v>
      </c>
      <c r="Q36" s="35">
        <f t="shared" si="29"/>
        <v>0.58205938726188122</v>
      </c>
      <c r="R36" s="36">
        <f>R31/R34</f>
        <v>-5.0608071366844403</v>
      </c>
      <c r="S36" s="35">
        <f t="shared" ref="S36:W36" si="30">S31/S34</f>
        <v>-7.519835324258527E-3</v>
      </c>
      <c r="T36" s="35">
        <f t="shared" si="30"/>
        <v>0.69699733453301227</v>
      </c>
      <c r="U36" s="35">
        <f t="shared" si="30"/>
        <v>1.1777311471091614</v>
      </c>
      <c r="V36" s="35">
        <f t="shared" si="30"/>
        <v>1.3239567629821125</v>
      </c>
      <c r="W36" s="36">
        <f t="shared" si="30"/>
        <v>3.1903244872882879</v>
      </c>
    </row>
    <row r="37" spans="1:23" x14ac:dyDescent="0.25">
      <c r="B37" s="118" t="s">
        <v>52</v>
      </c>
      <c r="C37" s="119"/>
      <c r="D37" s="120">
        <f>D32/D34</f>
        <v>-1.3260366744999368</v>
      </c>
      <c r="E37" s="120">
        <f t="shared" ref="E37:M37" si="31">E32/E34</f>
        <v>-1.3337711546376787</v>
      </c>
      <c r="F37" s="120">
        <f t="shared" si="31"/>
        <v>-2.9199971307996679</v>
      </c>
      <c r="G37" s="120">
        <f t="shared" si="31"/>
        <v>-3.0481837517972235</v>
      </c>
      <c r="H37" s="121">
        <f t="shared" si="31"/>
        <v>-8.6686253453830151</v>
      </c>
      <c r="I37" s="120">
        <f t="shared" si="31"/>
        <v>-3.3575254513851922</v>
      </c>
      <c r="J37" s="120">
        <f t="shared" si="31"/>
        <v>-3.0600245886692083</v>
      </c>
      <c r="K37" s="120">
        <f t="shared" si="31"/>
        <v>2.8970571730005172</v>
      </c>
      <c r="L37" s="120">
        <f t="shared" si="31"/>
        <v>1.9259548892339662</v>
      </c>
      <c r="M37" s="121">
        <f t="shared" si="31"/>
        <v>-1.3315760152470246</v>
      </c>
      <c r="N37" s="169">
        <f>N32/N34</f>
        <v>-2.8542681904629785</v>
      </c>
      <c r="O37" s="170">
        <f>O32/O34</f>
        <v>-1.1235013076409233</v>
      </c>
      <c r="P37" s="170">
        <f>P32/P34</f>
        <v>1.8586956521739131</v>
      </c>
      <c r="Q37" s="170">
        <f t="shared" ref="Q37:W37" si="32">Q32/Q34</f>
        <v>1.682445086674057</v>
      </c>
      <c r="R37" s="147">
        <f t="shared" si="32"/>
        <v>-0.21984706817292851</v>
      </c>
      <c r="S37" s="170">
        <f t="shared" si="32"/>
        <v>1.0669169772854585</v>
      </c>
      <c r="T37" s="170">
        <f t="shared" si="32"/>
        <v>1.7450858005543091</v>
      </c>
      <c r="U37" s="170">
        <f t="shared" si="32"/>
        <v>2.2056136341001094</v>
      </c>
      <c r="V37" s="170">
        <f t="shared" si="32"/>
        <v>2.3287463547457814</v>
      </c>
      <c r="W37" s="147">
        <f t="shared" si="32"/>
        <v>7.2785861700121117</v>
      </c>
    </row>
    <row r="38" spans="1:23" x14ac:dyDescent="0.25">
      <c r="B38" s="72"/>
      <c r="C38" s="40"/>
      <c r="D38" s="114"/>
      <c r="E38" s="114"/>
      <c r="F38" s="114"/>
      <c r="G38" s="114"/>
      <c r="H38" s="114"/>
      <c r="I38" s="114"/>
      <c r="J38" s="114"/>
      <c r="K38" s="114"/>
      <c r="L38" s="114"/>
      <c r="M38" s="135"/>
      <c r="N38" s="114"/>
      <c r="O38" s="114"/>
      <c r="P38" s="212"/>
      <c r="Q38" s="212"/>
      <c r="R38" s="213"/>
      <c r="S38" s="212"/>
      <c r="T38" s="212"/>
      <c r="U38" s="212"/>
      <c r="V38" s="212"/>
      <c r="W38" s="213"/>
    </row>
    <row r="39" spans="1:23" ht="15.75" x14ac:dyDescent="0.25">
      <c r="B39" s="257" t="s">
        <v>17</v>
      </c>
      <c r="C39" s="258"/>
      <c r="D39" s="23" t="s">
        <v>38</v>
      </c>
      <c r="E39" s="23" t="s">
        <v>39</v>
      </c>
      <c r="F39" s="23" t="s">
        <v>34</v>
      </c>
      <c r="G39" s="23" t="s">
        <v>35</v>
      </c>
      <c r="H39" s="63" t="s">
        <v>35</v>
      </c>
      <c r="I39" s="23" t="s">
        <v>36</v>
      </c>
      <c r="J39" s="23" t="s">
        <v>37</v>
      </c>
      <c r="K39" s="23" t="s">
        <v>31</v>
      </c>
      <c r="L39" s="23" t="s">
        <v>30</v>
      </c>
      <c r="M39" s="63" t="s">
        <v>30</v>
      </c>
      <c r="N39" s="23" t="s">
        <v>32</v>
      </c>
      <c r="O39" s="23" t="s">
        <v>33</v>
      </c>
      <c r="P39" s="23" t="s">
        <v>40</v>
      </c>
      <c r="Q39" s="25" t="s">
        <v>41</v>
      </c>
      <c r="R39" s="65" t="s">
        <v>41</v>
      </c>
      <c r="S39" s="25" t="s">
        <v>42</v>
      </c>
      <c r="T39" s="25" t="s">
        <v>43</v>
      </c>
      <c r="U39" s="25" t="s">
        <v>44</v>
      </c>
      <c r="V39" s="25" t="s">
        <v>45</v>
      </c>
      <c r="W39" s="65" t="s">
        <v>45</v>
      </c>
    </row>
    <row r="40" spans="1:23" ht="17.25" x14ac:dyDescent="0.4">
      <c r="B40" s="259"/>
      <c r="C40" s="260"/>
      <c r="D40" s="24" t="s">
        <v>150</v>
      </c>
      <c r="E40" s="24" t="s">
        <v>151</v>
      </c>
      <c r="F40" s="24" t="s">
        <v>152</v>
      </c>
      <c r="G40" s="24" t="s">
        <v>153</v>
      </c>
      <c r="H40" s="64" t="s">
        <v>64</v>
      </c>
      <c r="I40" s="24" t="s">
        <v>154</v>
      </c>
      <c r="J40" s="24" t="s">
        <v>155</v>
      </c>
      <c r="K40" s="24" t="s">
        <v>156</v>
      </c>
      <c r="L40" s="24" t="s">
        <v>157</v>
      </c>
      <c r="M40" s="64" t="s">
        <v>65</v>
      </c>
      <c r="N40" s="24" t="s">
        <v>158</v>
      </c>
      <c r="O40" s="24" t="s">
        <v>159</v>
      </c>
      <c r="P40" s="24" t="s">
        <v>196</v>
      </c>
      <c r="Q40" s="22" t="s">
        <v>160</v>
      </c>
      <c r="R40" s="66" t="s">
        <v>62</v>
      </c>
      <c r="S40" s="22" t="s">
        <v>161</v>
      </c>
      <c r="T40" s="22" t="s">
        <v>162</v>
      </c>
      <c r="U40" s="22" t="s">
        <v>163</v>
      </c>
      <c r="V40" s="22" t="s">
        <v>164</v>
      </c>
      <c r="W40" s="66" t="s">
        <v>63</v>
      </c>
    </row>
    <row r="41" spans="1:23" ht="18" x14ac:dyDescent="0.4">
      <c r="A41" s="138"/>
      <c r="B41" s="265" t="s">
        <v>96</v>
      </c>
      <c r="C41" s="266"/>
      <c r="D41" s="24"/>
      <c r="E41" s="24"/>
      <c r="F41" s="24"/>
      <c r="G41" s="24"/>
      <c r="H41" s="64"/>
      <c r="I41" s="24"/>
      <c r="J41" s="24"/>
      <c r="K41" s="24"/>
      <c r="L41" s="24"/>
      <c r="M41" s="64"/>
      <c r="N41" s="24"/>
      <c r="O41" s="24"/>
      <c r="P41" s="24"/>
      <c r="Q41" s="22"/>
      <c r="R41" s="66"/>
      <c r="S41" s="22"/>
      <c r="T41" s="22"/>
      <c r="U41" s="22"/>
      <c r="V41" s="22"/>
      <c r="W41" s="66"/>
    </row>
    <row r="42" spans="1:23" x14ac:dyDescent="0.25">
      <c r="A42" s="138"/>
      <c r="B42" s="179" t="s">
        <v>134</v>
      </c>
      <c r="C42" s="155"/>
      <c r="D42" s="26"/>
      <c r="E42" s="141"/>
      <c r="F42" s="141"/>
      <c r="G42" s="141"/>
      <c r="H42" s="142"/>
      <c r="I42" s="141"/>
      <c r="J42" s="141"/>
      <c r="K42" s="141"/>
      <c r="L42" s="141"/>
      <c r="M42" s="142"/>
      <c r="N42" s="141"/>
      <c r="O42" s="141"/>
      <c r="P42" s="141"/>
      <c r="Q42" s="141"/>
      <c r="R42" s="142"/>
      <c r="S42" s="141"/>
      <c r="T42" s="141"/>
      <c r="U42" s="141"/>
      <c r="V42" s="141"/>
      <c r="W42" s="142"/>
    </row>
    <row r="43" spans="1:23" s="201" customFormat="1" outlineLevel="1" x14ac:dyDescent="0.25">
      <c r="A43" s="195"/>
      <c r="B43" s="100" t="s">
        <v>142</v>
      </c>
      <c r="C43" s="196"/>
      <c r="D43" s="197"/>
      <c r="E43" s="197"/>
      <c r="F43" s="197"/>
      <c r="G43" s="197"/>
      <c r="H43" s="198"/>
      <c r="I43" s="197">
        <v>13</v>
      </c>
      <c r="J43" s="199">
        <v>13</v>
      </c>
      <c r="K43" s="199">
        <v>13</v>
      </c>
      <c r="L43" s="199">
        <v>13</v>
      </c>
      <c r="M43" s="200">
        <v>52</v>
      </c>
      <c r="N43" s="199">
        <v>13</v>
      </c>
      <c r="O43" s="199">
        <v>13</v>
      </c>
      <c r="P43" s="199">
        <v>13</v>
      </c>
      <c r="Q43" s="199">
        <v>13</v>
      </c>
      <c r="R43" s="200">
        <v>52</v>
      </c>
      <c r="S43" s="199">
        <v>13</v>
      </c>
      <c r="T43" s="199">
        <v>13</v>
      </c>
      <c r="U43" s="199">
        <v>13</v>
      </c>
      <c r="V43" s="199">
        <v>13</v>
      </c>
      <c r="W43" s="200">
        <v>52</v>
      </c>
    </row>
    <row r="44" spans="1:23" outlineLevel="1" x14ac:dyDescent="0.25">
      <c r="A44" s="138"/>
      <c r="B44" s="56" t="s">
        <v>143</v>
      </c>
      <c r="C44" s="57"/>
      <c r="D44" s="26"/>
      <c r="E44" s="26"/>
      <c r="F44" s="26"/>
      <c r="G44" s="26"/>
      <c r="H44" s="39"/>
      <c r="I44" s="26">
        <v>2020</v>
      </c>
      <c r="J44" s="47">
        <f>+I44*2</f>
        <v>4040</v>
      </c>
      <c r="K44" s="26">
        <v>5300</v>
      </c>
      <c r="L44" s="47">
        <v>6000</v>
      </c>
      <c r="M44" s="39"/>
      <c r="N44" s="47">
        <v>6500</v>
      </c>
      <c r="O44" s="141">
        <v>7000</v>
      </c>
      <c r="P44" s="141"/>
      <c r="Q44" s="141"/>
      <c r="R44" s="142"/>
      <c r="S44" s="141"/>
      <c r="T44" s="141"/>
      <c r="U44" s="141"/>
      <c r="V44" s="141"/>
      <c r="W44" s="142"/>
    </row>
    <row r="45" spans="1:23" s="138" customFormat="1" ht="17.25" outlineLevel="1" x14ac:dyDescent="0.4">
      <c r="B45" s="139" t="s">
        <v>139</v>
      </c>
      <c r="C45" s="140"/>
      <c r="D45" s="141"/>
      <c r="E45" s="141"/>
      <c r="F45" s="141"/>
      <c r="G45" s="141"/>
      <c r="H45" s="142"/>
      <c r="I45" s="146">
        <f>I46/I43</f>
        <v>751.23076923076928</v>
      </c>
      <c r="J45" s="146">
        <f>J46/J43</f>
        <v>2198.3076923076924</v>
      </c>
      <c r="K45" s="146">
        <f>K46/K43</f>
        <v>4095.3076923076924</v>
      </c>
      <c r="L45" s="146">
        <f>L46/L43</f>
        <v>4722.6153846153848</v>
      </c>
      <c r="M45" s="178"/>
      <c r="N45" s="146">
        <f>N46/N43</f>
        <v>4844.2307692307695</v>
      </c>
      <c r="O45" s="146">
        <f>O46/O43</f>
        <v>5579.3076923076924</v>
      </c>
      <c r="P45" s="146">
        <f>P46/P43</f>
        <v>6141.3076923076924</v>
      </c>
      <c r="Q45" s="45">
        <v>6800</v>
      </c>
      <c r="R45" s="178"/>
      <c r="S45" s="45">
        <f>AVERAGE(P45:Q45)</f>
        <v>6470.6538461538457</v>
      </c>
      <c r="T45" s="45">
        <f>+S45+100</f>
        <v>6570.6538461538457</v>
      </c>
      <c r="U45" s="45">
        <f>+T45+150</f>
        <v>6720.6538461538457</v>
      </c>
      <c r="V45" s="45">
        <f>+U45+200</f>
        <v>6920.6538461538457</v>
      </c>
      <c r="W45" s="178"/>
    </row>
    <row r="46" spans="1:23" s="19" customFormat="1" ht="17.25" outlineLevel="1" x14ac:dyDescent="0.4">
      <c r="A46" s="163"/>
      <c r="B46" s="158" t="s">
        <v>138</v>
      </c>
      <c r="C46" s="159"/>
      <c r="D46" s="32"/>
      <c r="E46" s="32"/>
      <c r="F46" s="87">
        <v>260</v>
      </c>
      <c r="G46" s="87">
        <v>2425</v>
      </c>
      <c r="H46" s="183">
        <f>SUM(D46:G46)</f>
        <v>2685</v>
      </c>
      <c r="I46" s="87">
        <v>9766</v>
      </c>
      <c r="J46" s="87">
        <v>28578</v>
      </c>
      <c r="K46" s="87">
        <v>53239</v>
      </c>
      <c r="L46" s="87">
        <v>61394</v>
      </c>
      <c r="M46" s="183">
        <f>SUM(I46:L46)</f>
        <v>152977</v>
      </c>
      <c r="N46" s="167">
        <v>62975</v>
      </c>
      <c r="O46" s="87">
        <v>72531</v>
      </c>
      <c r="P46" s="87">
        <v>79837</v>
      </c>
      <c r="Q46" s="87">
        <f>+Q43*Q45</f>
        <v>88400</v>
      </c>
      <c r="R46" s="183">
        <f>SUM(N46:Q46)</f>
        <v>303743</v>
      </c>
      <c r="S46" s="87">
        <f t="shared" ref="S46:V46" si="33">+S43*S45</f>
        <v>84118.5</v>
      </c>
      <c r="T46" s="87">
        <f t="shared" si="33"/>
        <v>85418.5</v>
      </c>
      <c r="U46" s="87">
        <f t="shared" si="33"/>
        <v>87368.5</v>
      </c>
      <c r="V46" s="87">
        <f t="shared" si="33"/>
        <v>89968.5</v>
      </c>
      <c r="W46" s="183">
        <f>SUM(S46:V46)</f>
        <v>346874</v>
      </c>
    </row>
    <row r="47" spans="1:23" outlineLevel="1" x14ac:dyDescent="0.25">
      <c r="A47" s="138"/>
      <c r="B47" s="38" t="s">
        <v>121</v>
      </c>
      <c r="C47" s="57"/>
      <c r="D47" s="26"/>
      <c r="E47" s="26"/>
      <c r="F47" s="26"/>
      <c r="G47" s="26"/>
      <c r="H47" s="39"/>
      <c r="I47" s="44">
        <f>+I48/I46</f>
        <v>0.8378046283022732</v>
      </c>
      <c r="J47" s="44">
        <f>+J48/J46</f>
        <v>0.64556651970046885</v>
      </c>
      <c r="K47" s="44">
        <f>+K48/K46</f>
        <v>1.0530813877045024</v>
      </c>
      <c r="L47" s="44">
        <f>+L48/L46</f>
        <v>1.0320063849887611</v>
      </c>
      <c r="M47" s="39"/>
      <c r="N47" s="44">
        <f>+N48/N46</f>
        <v>0.80870186581976977</v>
      </c>
      <c r="O47" s="44">
        <f>+O48/O46</f>
        <v>1.0703561235885346</v>
      </c>
      <c r="P47" s="44">
        <f>+P48/P46</f>
        <v>0.99832158021969764</v>
      </c>
      <c r="Q47" s="125">
        <v>1</v>
      </c>
      <c r="R47" s="39"/>
      <c r="S47" s="125">
        <v>1</v>
      </c>
      <c r="T47" s="125">
        <f>S47+3%</f>
        <v>1.03</v>
      </c>
      <c r="U47" s="125">
        <f>T47+2%</f>
        <v>1.05</v>
      </c>
      <c r="V47" s="125">
        <f>U47</f>
        <v>1.05</v>
      </c>
      <c r="W47" s="39"/>
    </row>
    <row r="48" spans="1:23" s="19" customFormat="1" outlineLevel="1" x14ac:dyDescent="0.25">
      <c r="A48" s="163"/>
      <c r="B48" s="181" t="s">
        <v>86</v>
      </c>
      <c r="C48" s="159"/>
      <c r="D48" s="32"/>
      <c r="E48" s="32"/>
      <c r="F48" s="32">
        <v>222</v>
      </c>
      <c r="G48" s="32">
        <v>1542</v>
      </c>
      <c r="H48" s="103">
        <f>SUM(D48:G48)</f>
        <v>1764</v>
      </c>
      <c r="I48" s="32">
        <v>8182</v>
      </c>
      <c r="J48" s="32">
        <v>18449</v>
      </c>
      <c r="K48" s="32">
        <v>56065</v>
      </c>
      <c r="L48" s="32">
        <v>63359</v>
      </c>
      <c r="M48" s="103">
        <f>SUM(I48:L48)</f>
        <v>146055</v>
      </c>
      <c r="N48" s="143">
        <v>50928</v>
      </c>
      <c r="O48" s="32">
        <v>77634</v>
      </c>
      <c r="P48" s="32">
        <v>79703</v>
      </c>
      <c r="Q48" s="32">
        <f t="shared" ref="Q48" si="34">+Q46*Q47</f>
        <v>88400</v>
      </c>
      <c r="R48" s="103">
        <f>SUM(N48:Q48)</f>
        <v>296665</v>
      </c>
      <c r="S48" s="32">
        <f>+S46*S47</f>
        <v>84118.5</v>
      </c>
      <c r="T48" s="32">
        <f>+T46*T47</f>
        <v>87981.055000000008</v>
      </c>
      <c r="U48" s="32">
        <f t="shared" ref="U48" si="35">+U46*U47</f>
        <v>91736.925000000003</v>
      </c>
      <c r="V48" s="32">
        <f t="shared" ref="V48" si="36">+V46*V47</f>
        <v>94466.925000000003</v>
      </c>
      <c r="W48" s="103">
        <f>SUM(S48:V48)</f>
        <v>358303.40499999997</v>
      </c>
    </row>
    <row r="49" spans="1:23" x14ac:dyDescent="0.25">
      <c r="A49" s="138"/>
      <c r="B49" s="180" t="s">
        <v>135</v>
      </c>
      <c r="C49" s="208"/>
      <c r="D49" s="21"/>
      <c r="E49" s="21"/>
      <c r="F49" s="21"/>
      <c r="G49" s="21"/>
      <c r="H49" s="209"/>
      <c r="I49" s="21"/>
      <c r="J49" s="21"/>
      <c r="K49" s="21"/>
      <c r="L49" s="21"/>
      <c r="M49" s="209"/>
      <c r="N49" s="210"/>
      <c r="O49" s="21"/>
      <c r="P49" s="21"/>
      <c r="Q49" s="215"/>
      <c r="R49" s="209"/>
      <c r="S49" s="21"/>
      <c r="T49" s="21"/>
      <c r="U49" s="21"/>
      <c r="V49" s="21"/>
      <c r="W49" s="209"/>
    </row>
    <row r="50" spans="1:23" outlineLevel="1" x14ac:dyDescent="0.25">
      <c r="A50" s="138"/>
      <c r="B50" s="154" t="s">
        <v>136</v>
      </c>
      <c r="C50" s="155"/>
      <c r="D50" s="174"/>
      <c r="E50" s="174"/>
      <c r="F50" s="174"/>
      <c r="G50" s="174"/>
      <c r="H50" s="39"/>
      <c r="I50" s="175">
        <f t="shared" ref="I50:N50" si="37">I51/I43</f>
        <v>1902.1538461538462</v>
      </c>
      <c r="J50" s="175">
        <f t="shared" si="37"/>
        <v>1904.6923076923076</v>
      </c>
      <c r="K50" s="175">
        <f t="shared" si="37"/>
        <v>2069.4615384615386</v>
      </c>
      <c r="L50" s="175">
        <f t="shared" si="37"/>
        <v>1935.4615384615386</v>
      </c>
      <c r="M50" s="39"/>
      <c r="N50" s="175">
        <f t="shared" si="37"/>
        <v>1089.4615384615386</v>
      </c>
      <c r="O50" s="175">
        <f>O51/O43</f>
        <v>1116.6923076923076</v>
      </c>
      <c r="P50" s="175">
        <f>P51/P43</f>
        <v>1255.2307692307693</v>
      </c>
      <c r="Q50" s="175">
        <f>P50+100</f>
        <v>1355.2307692307693</v>
      </c>
      <c r="R50" s="39"/>
      <c r="S50" s="175">
        <f>AVERAGE(N50:Q50)</f>
        <v>1204.1538461538462</v>
      </c>
      <c r="T50" s="175">
        <f>AVERAGE(O50:Q50,S50)</f>
        <v>1232.8269230769233</v>
      </c>
      <c r="U50" s="175">
        <f>AVERAGE(S50:T50)</f>
        <v>1218.4903846153848</v>
      </c>
      <c r="V50" s="175">
        <f>AVERAGE(T50:U50)</f>
        <v>1225.658653846154</v>
      </c>
      <c r="W50" s="39"/>
    </row>
    <row r="51" spans="1:23" s="19" customFormat="1" ht="17.25" outlineLevel="1" x14ac:dyDescent="0.4">
      <c r="A51" s="163"/>
      <c r="B51" s="158" t="s">
        <v>137</v>
      </c>
      <c r="C51" s="159"/>
      <c r="D51" s="182">
        <v>25418</v>
      </c>
      <c r="E51" s="182">
        <v>25708</v>
      </c>
      <c r="F51" s="182">
        <f>25336-260</f>
        <v>25076</v>
      </c>
      <c r="G51" s="182">
        <v>22137</v>
      </c>
      <c r="H51" s="183">
        <f>SUM(D51:G51)</f>
        <v>98339</v>
      </c>
      <c r="I51" s="182">
        <v>24728</v>
      </c>
      <c r="J51" s="182">
        <v>24761</v>
      </c>
      <c r="K51" s="182">
        <v>26903</v>
      </c>
      <c r="L51" s="182">
        <v>25161</v>
      </c>
      <c r="M51" s="183">
        <f>SUM(I51:L51)</f>
        <v>101553</v>
      </c>
      <c r="N51" s="184">
        <v>14163</v>
      </c>
      <c r="O51" s="184">
        <v>14517</v>
      </c>
      <c r="P51" s="184">
        <v>16318</v>
      </c>
      <c r="Q51" s="87">
        <f>+Q43*Q50</f>
        <v>17618</v>
      </c>
      <c r="R51" s="183">
        <f>SUM(N51:Q51)</f>
        <v>62616</v>
      </c>
      <c r="S51" s="87">
        <f t="shared" ref="S51:V51" si="38">+S43*S50</f>
        <v>15654</v>
      </c>
      <c r="T51" s="87">
        <f t="shared" si="38"/>
        <v>16026.750000000004</v>
      </c>
      <c r="U51" s="87">
        <f t="shared" si="38"/>
        <v>15840.375000000002</v>
      </c>
      <c r="V51" s="87">
        <f t="shared" si="38"/>
        <v>15933.562500000002</v>
      </c>
      <c r="W51" s="183">
        <f>SUM(S51:V51)</f>
        <v>63454.687500000007</v>
      </c>
    </row>
    <row r="52" spans="1:23" outlineLevel="1" x14ac:dyDescent="0.25">
      <c r="A52" s="138"/>
      <c r="B52" s="38" t="s">
        <v>122</v>
      </c>
      <c r="C52" s="57"/>
      <c r="D52" s="26"/>
      <c r="E52" s="26"/>
      <c r="F52" s="26"/>
      <c r="G52" s="26"/>
      <c r="H52" s="39"/>
      <c r="I52" s="44">
        <f>+I53/I51</f>
        <v>0.88316887738595928</v>
      </c>
      <c r="J52" s="44">
        <f>+J53/J51</f>
        <v>0.90137716570413151</v>
      </c>
      <c r="K52" s="44">
        <f>+K53/K51</f>
        <v>1.0299966546481805</v>
      </c>
      <c r="L52" s="44">
        <f>+L53/L51</f>
        <v>1.0972139422121536</v>
      </c>
      <c r="M52" s="39"/>
      <c r="N52" s="162">
        <f>+N53/N51</f>
        <v>0.8537033114453153</v>
      </c>
      <c r="O52" s="162">
        <f>+O53/O51</f>
        <v>1.220775642350348</v>
      </c>
      <c r="P52" s="162">
        <f>+P53/P51</f>
        <v>1.0713935531315113</v>
      </c>
      <c r="Q52" s="125">
        <v>1</v>
      </c>
      <c r="R52" s="39"/>
      <c r="S52" s="125">
        <f>Q52-5%</f>
        <v>0.95</v>
      </c>
      <c r="T52" s="125">
        <f>S52</f>
        <v>0.95</v>
      </c>
      <c r="U52" s="125">
        <f>T52-5%</f>
        <v>0.89999999999999991</v>
      </c>
      <c r="V52" s="125">
        <f t="shared" ref="V52" si="39">U52</f>
        <v>0.89999999999999991</v>
      </c>
      <c r="W52" s="39"/>
    </row>
    <row r="53" spans="1:23" s="19" customFormat="1" outlineLevel="1" x14ac:dyDescent="0.25">
      <c r="A53" s="163"/>
      <c r="B53" s="186" t="s">
        <v>87</v>
      </c>
      <c r="C53" s="187"/>
      <c r="D53" s="188">
        <v>25051</v>
      </c>
      <c r="E53" s="188">
        <v>22026</v>
      </c>
      <c r="F53" s="188">
        <v>25915</v>
      </c>
      <c r="G53" s="188">
        <v>28425</v>
      </c>
      <c r="H53" s="189">
        <f>SUM(D53:G53)</f>
        <v>101417</v>
      </c>
      <c r="I53" s="188">
        <f>21815+24</f>
        <v>21839</v>
      </c>
      <c r="J53" s="188">
        <v>22319</v>
      </c>
      <c r="K53" s="188">
        <v>27710</v>
      </c>
      <c r="L53" s="188">
        <v>27607</v>
      </c>
      <c r="M53" s="189">
        <f>SUM(I53:L53)</f>
        <v>99475</v>
      </c>
      <c r="N53" s="190">
        <v>12091</v>
      </c>
      <c r="O53" s="190">
        <v>17722</v>
      </c>
      <c r="P53" s="190">
        <v>17483</v>
      </c>
      <c r="Q53" s="188">
        <f>+Q51*Q52</f>
        <v>17618</v>
      </c>
      <c r="R53" s="189">
        <f>SUM(N53:Q53)</f>
        <v>64914</v>
      </c>
      <c r="S53" s="188">
        <f>+S51*S52</f>
        <v>14871.3</v>
      </c>
      <c r="T53" s="188">
        <f>+T51*T52</f>
        <v>15225.412500000002</v>
      </c>
      <c r="U53" s="188">
        <f>+U51*U52</f>
        <v>14256.3375</v>
      </c>
      <c r="V53" s="188">
        <f>+V51*V52</f>
        <v>14340.206250000001</v>
      </c>
      <c r="W53" s="189">
        <f>SUM(S53:V53)</f>
        <v>58693.256250000006</v>
      </c>
    </row>
    <row r="54" spans="1:23" s="19" customFormat="1" x14ac:dyDescent="0.25">
      <c r="A54" s="163"/>
      <c r="B54" s="179" t="s">
        <v>145</v>
      </c>
      <c r="C54" s="159"/>
      <c r="D54" s="32"/>
      <c r="E54" s="32"/>
      <c r="F54" s="32"/>
      <c r="G54" s="32"/>
      <c r="H54" s="103"/>
      <c r="I54" s="32"/>
      <c r="J54" s="32"/>
      <c r="K54" s="32"/>
      <c r="L54" s="32"/>
      <c r="M54" s="103"/>
      <c r="N54" s="143"/>
      <c r="O54" s="143"/>
      <c r="P54" s="143"/>
      <c r="Q54" s="32"/>
      <c r="R54" s="103"/>
      <c r="S54" s="32"/>
      <c r="T54" s="32"/>
      <c r="U54" s="32"/>
      <c r="V54" s="32"/>
      <c r="W54" s="103"/>
    </row>
    <row r="55" spans="1:23" ht="17.25" outlineLevel="1" x14ac:dyDescent="0.4">
      <c r="A55" s="138"/>
      <c r="B55" s="38" t="s">
        <v>148</v>
      </c>
      <c r="C55" s="57"/>
      <c r="D55" s="30">
        <v>0</v>
      </c>
      <c r="E55" s="30">
        <v>0</v>
      </c>
      <c r="F55" s="30">
        <v>0</v>
      </c>
      <c r="G55" s="30">
        <v>0</v>
      </c>
      <c r="H55" s="104"/>
      <c r="I55" s="30">
        <v>0</v>
      </c>
      <c r="J55" s="30">
        <v>0</v>
      </c>
      <c r="K55" s="30">
        <v>0</v>
      </c>
      <c r="L55" s="30">
        <v>0</v>
      </c>
      <c r="M55" s="104">
        <f>SUM(I55:L55)</f>
        <v>0</v>
      </c>
      <c r="N55" s="146">
        <v>0</v>
      </c>
      <c r="O55" s="146">
        <v>0</v>
      </c>
      <c r="P55" s="146">
        <v>0</v>
      </c>
      <c r="Q55" s="203">
        <v>150</v>
      </c>
      <c r="R55" s="104">
        <f>SUM(N55:Q55)</f>
        <v>150</v>
      </c>
      <c r="S55" s="45">
        <f>Q55+1000</f>
        <v>1150</v>
      </c>
      <c r="T55" s="45">
        <f>S55+3000</f>
        <v>4150</v>
      </c>
      <c r="U55" s="45">
        <f>T55+7000</f>
        <v>11150</v>
      </c>
      <c r="V55" s="45">
        <f>U55+7000</f>
        <v>18150</v>
      </c>
      <c r="W55" s="104">
        <f>SUM(S55:V55)</f>
        <v>34600</v>
      </c>
    </row>
    <row r="56" spans="1:23" outlineLevel="1" x14ac:dyDescent="0.25">
      <c r="A56" s="138"/>
      <c r="B56" s="153" t="s">
        <v>144</v>
      </c>
      <c r="C56" s="155"/>
      <c r="D56" s="176">
        <f t="shared" ref="D56:W56" si="40">+D51+D46</f>
        <v>25418</v>
      </c>
      <c r="E56" s="176">
        <f t="shared" si="40"/>
        <v>25708</v>
      </c>
      <c r="F56" s="176">
        <f t="shared" si="40"/>
        <v>25336</v>
      </c>
      <c r="G56" s="176">
        <f t="shared" si="40"/>
        <v>24562</v>
      </c>
      <c r="H56" s="103">
        <f t="shared" si="40"/>
        <v>101024</v>
      </c>
      <c r="I56" s="176">
        <f t="shared" si="40"/>
        <v>34494</v>
      </c>
      <c r="J56" s="176">
        <f t="shared" si="40"/>
        <v>53339</v>
      </c>
      <c r="K56" s="176">
        <f t="shared" si="40"/>
        <v>80142</v>
      </c>
      <c r="L56" s="176">
        <f t="shared" si="40"/>
        <v>86555</v>
      </c>
      <c r="M56" s="103">
        <f t="shared" si="40"/>
        <v>254530</v>
      </c>
      <c r="N56" s="177">
        <f t="shared" si="40"/>
        <v>77138</v>
      </c>
      <c r="O56" s="177">
        <f t="shared" si="40"/>
        <v>87048</v>
      </c>
      <c r="P56" s="177">
        <f t="shared" si="40"/>
        <v>96155</v>
      </c>
      <c r="Q56" s="177">
        <f t="shared" si="40"/>
        <v>106018</v>
      </c>
      <c r="R56" s="211">
        <f t="shared" si="40"/>
        <v>366359</v>
      </c>
      <c r="S56" s="177">
        <f t="shared" si="40"/>
        <v>99772.5</v>
      </c>
      <c r="T56" s="177">
        <f t="shared" si="40"/>
        <v>101445.25</v>
      </c>
      <c r="U56" s="177">
        <f t="shared" si="40"/>
        <v>103208.875</v>
      </c>
      <c r="V56" s="177">
        <f t="shared" si="40"/>
        <v>105902.0625</v>
      </c>
      <c r="W56" s="145">
        <f t="shared" si="40"/>
        <v>410328.6875</v>
      </c>
    </row>
    <row r="57" spans="1:23" ht="17.25" outlineLevel="1" x14ac:dyDescent="0.4">
      <c r="A57" s="138"/>
      <c r="B57" s="153" t="s">
        <v>146</v>
      </c>
      <c r="C57" s="155"/>
      <c r="D57" s="176"/>
      <c r="E57" s="176"/>
      <c r="F57" s="176"/>
      <c r="G57" s="176"/>
      <c r="H57" s="103"/>
      <c r="I57" s="182">
        <f t="shared" ref="I57" si="41">+I56/I43</f>
        <v>2653.3846153846152</v>
      </c>
      <c r="J57" s="182">
        <f t="shared" ref="J57" si="42">+J56/J43</f>
        <v>4103</v>
      </c>
      <c r="K57" s="182">
        <f t="shared" ref="K57" si="43">+K56/K43</f>
        <v>6164.7692307692305</v>
      </c>
      <c r="L57" s="182">
        <f t="shared" ref="L57" si="44">+L56/L43</f>
        <v>6658.0769230769229</v>
      </c>
      <c r="M57" s="183"/>
      <c r="N57" s="184">
        <f t="shared" ref="N57:P57" si="45">+N56/N43</f>
        <v>5933.6923076923076</v>
      </c>
      <c r="O57" s="184">
        <f t="shared" si="45"/>
        <v>6696</v>
      </c>
      <c r="P57" s="184">
        <f t="shared" si="45"/>
        <v>7396.5384615384619</v>
      </c>
      <c r="Q57" s="184">
        <f>+Q56/Q43</f>
        <v>8155.2307692307695</v>
      </c>
      <c r="R57" s="202">
        <f>+R56/R43</f>
        <v>7045.3653846153848</v>
      </c>
      <c r="S57" s="184">
        <f t="shared" ref="S57" si="46">+S56/S43</f>
        <v>7674.8076923076924</v>
      </c>
      <c r="T57" s="184">
        <f t="shared" ref="T57" si="47">+T56/T43</f>
        <v>7803.4807692307695</v>
      </c>
      <c r="U57" s="184">
        <f t="shared" ref="U57" si="48">+U56/U43</f>
        <v>7939.1442307692305</v>
      </c>
      <c r="V57" s="184">
        <f t="shared" ref="V57" si="49">+V56/V43</f>
        <v>8146.3125</v>
      </c>
      <c r="W57" s="202">
        <f>+W56/W43</f>
        <v>7890.9362980769229</v>
      </c>
    </row>
    <row r="58" spans="1:23" s="19" customFormat="1" outlineLevel="1" x14ac:dyDescent="0.25">
      <c r="A58" s="163"/>
      <c r="B58" s="101" t="s">
        <v>147</v>
      </c>
      <c r="C58" s="60"/>
      <c r="D58" s="32">
        <f t="shared" ref="D58:W58" si="50">+D48+D53+D55</f>
        <v>25051</v>
      </c>
      <c r="E58" s="32">
        <f t="shared" si="50"/>
        <v>22026</v>
      </c>
      <c r="F58" s="32">
        <f t="shared" si="50"/>
        <v>26137</v>
      </c>
      <c r="G58" s="32">
        <f t="shared" si="50"/>
        <v>29967</v>
      </c>
      <c r="H58" s="103">
        <f t="shared" si="50"/>
        <v>103181</v>
      </c>
      <c r="I58" s="32">
        <f t="shared" si="50"/>
        <v>30021</v>
      </c>
      <c r="J58" s="32">
        <f t="shared" si="50"/>
        <v>40768</v>
      </c>
      <c r="K58" s="32">
        <f t="shared" si="50"/>
        <v>83775</v>
      </c>
      <c r="L58" s="32">
        <f t="shared" si="50"/>
        <v>90966</v>
      </c>
      <c r="M58" s="103">
        <f t="shared" si="50"/>
        <v>245530</v>
      </c>
      <c r="N58" s="32">
        <f t="shared" si="50"/>
        <v>63019</v>
      </c>
      <c r="O58" s="32">
        <f t="shared" si="50"/>
        <v>95356</v>
      </c>
      <c r="P58" s="32">
        <f t="shared" si="50"/>
        <v>97186</v>
      </c>
      <c r="Q58" s="32">
        <f t="shared" si="50"/>
        <v>106168</v>
      </c>
      <c r="R58" s="145">
        <f t="shared" si="50"/>
        <v>361729</v>
      </c>
      <c r="S58" s="32">
        <f t="shared" si="50"/>
        <v>100139.8</v>
      </c>
      <c r="T58" s="32">
        <f t="shared" si="50"/>
        <v>107356.46750000001</v>
      </c>
      <c r="U58" s="32">
        <f t="shared" si="50"/>
        <v>117143.2625</v>
      </c>
      <c r="V58" s="32">
        <f t="shared" si="50"/>
        <v>126957.13125000001</v>
      </c>
      <c r="W58" s="103">
        <f t="shared" si="50"/>
        <v>451596.66125</v>
      </c>
    </row>
    <row r="59" spans="1:23" outlineLevel="1" x14ac:dyDescent="0.25">
      <c r="A59" s="138"/>
      <c r="B59" s="126" t="s">
        <v>165</v>
      </c>
      <c r="C59" s="57"/>
      <c r="D59" s="26"/>
      <c r="E59" s="26"/>
      <c r="F59" s="26"/>
      <c r="G59" s="26"/>
      <c r="H59" s="39"/>
      <c r="I59" s="44">
        <f>I58/D58-1</f>
        <v>0.1983952736417709</v>
      </c>
      <c r="J59" s="44">
        <f>J58/E58-1</f>
        <v>0.85090347770816299</v>
      </c>
      <c r="K59" s="44">
        <f>K58/F58-1</f>
        <v>2.205226307533382</v>
      </c>
      <c r="L59" s="44">
        <f>L58/G58-1</f>
        <v>2.0355390930023027</v>
      </c>
      <c r="M59" s="39"/>
      <c r="N59" s="44">
        <f>N58/I58-1</f>
        <v>1.0991639185903201</v>
      </c>
      <c r="O59" s="44">
        <f>O58/J58-1</f>
        <v>1.3389913657770802</v>
      </c>
      <c r="P59" s="44">
        <f>P58/K58-1</f>
        <v>0.16008355714712019</v>
      </c>
      <c r="Q59" s="44">
        <f>Q58/L58-1</f>
        <v>0.16711738451729219</v>
      </c>
      <c r="R59" s="39"/>
      <c r="S59" s="44">
        <f>S58/N58-1</f>
        <v>0.58904140021263429</v>
      </c>
      <c r="T59" s="44">
        <f>T58/O58-1</f>
        <v>0.12584910755484735</v>
      </c>
      <c r="U59" s="44">
        <f>U58/P58-1</f>
        <v>0.20535120799292073</v>
      </c>
      <c r="V59" s="44">
        <f>V58/Q58-1</f>
        <v>0.19581353373897969</v>
      </c>
      <c r="W59" s="39"/>
    </row>
    <row r="60" spans="1:23" x14ac:dyDescent="0.25">
      <c r="A60" s="138"/>
      <c r="B60" s="180" t="s">
        <v>141</v>
      </c>
      <c r="C60" s="156"/>
      <c r="D60" s="54"/>
      <c r="E60" s="54"/>
      <c r="F60" s="54"/>
      <c r="G60" s="54"/>
      <c r="H60" s="108"/>
      <c r="I60" s="193"/>
      <c r="J60" s="193"/>
      <c r="K60" s="193"/>
      <c r="L60" s="193"/>
      <c r="M60" s="108"/>
      <c r="N60" s="193"/>
      <c r="O60" s="193"/>
      <c r="P60" s="193"/>
      <c r="Q60" s="193"/>
      <c r="R60" s="108"/>
      <c r="S60" s="193"/>
      <c r="T60" s="193"/>
      <c r="U60" s="193"/>
      <c r="V60" s="193"/>
      <c r="W60" s="108"/>
    </row>
    <row r="61" spans="1:23" outlineLevel="1" x14ac:dyDescent="0.25">
      <c r="A61" s="138"/>
      <c r="B61" s="154" t="s">
        <v>140</v>
      </c>
      <c r="C61" s="155"/>
      <c r="D61" s="194">
        <v>0.26</v>
      </c>
      <c r="E61" s="194">
        <v>0.19</v>
      </c>
      <c r="F61" s="194">
        <v>0.21</v>
      </c>
      <c r="G61" s="194">
        <v>0.23</v>
      </c>
      <c r="H61" s="46"/>
      <c r="I61" s="194">
        <v>0.08</v>
      </c>
      <c r="J61" s="194">
        <v>0.06</v>
      </c>
      <c r="K61" s="194">
        <v>0.03</v>
      </c>
      <c r="L61" s="194">
        <v>0.04</v>
      </c>
      <c r="M61" s="46"/>
      <c r="N61" s="205">
        <f>+(1363+0)/N58</f>
        <v>2.1628397784795063E-2</v>
      </c>
      <c r="O61" s="205">
        <f>+(4322+1820)/O58</f>
        <v>6.441125886152943E-2</v>
      </c>
      <c r="P61" s="205">
        <f>+(4322+1820)/P58</f>
        <v>6.319840306216945E-2</v>
      </c>
      <c r="Q61" s="206">
        <f>P61</f>
        <v>6.319840306216945E-2</v>
      </c>
      <c r="R61" s="207"/>
      <c r="S61" s="206">
        <f>Q61-0.25%</f>
        <v>6.0698403062169448E-2</v>
      </c>
      <c r="T61" s="206">
        <f>S61</f>
        <v>6.0698403062169448E-2</v>
      </c>
      <c r="U61" s="206">
        <f>T61-0.5%</f>
        <v>5.5698403062169451E-2</v>
      </c>
      <c r="V61" s="206">
        <f>U61</f>
        <v>5.5698403062169451E-2</v>
      </c>
      <c r="W61" s="207"/>
    </row>
    <row r="62" spans="1:23" ht="17.25" outlineLevel="1" x14ac:dyDescent="0.4">
      <c r="A62" s="138"/>
      <c r="B62" s="154" t="s">
        <v>88</v>
      </c>
      <c r="C62" s="155"/>
      <c r="D62" s="191">
        <f>(D63*1000000)/(D58*(1-D61))</f>
        <v>109779.29348453481</v>
      </c>
      <c r="E62" s="191">
        <f>(E63*1000000)/(E58*(1-E61))</f>
        <v>112877.37387800949</v>
      </c>
      <c r="F62" s="191">
        <f>(F63*1000000)/(F58*(1-F61))</f>
        <v>100576.70802775833</v>
      </c>
      <c r="G62" s="191">
        <f>(G63*1000000)/(G58*(1-G61))</f>
        <v>104405.27870701061</v>
      </c>
      <c r="H62" s="104"/>
      <c r="I62" s="191">
        <f>(I63*1000000)/(I58*(1-I61))</f>
        <v>92756.845570419551</v>
      </c>
      <c r="J62" s="191">
        <f>(J63*1000000)/(J58*(1-J61))</f>
        <v>81359.83270149304</v>
      </c>
      <c r="K62" s="191">
        <f>(K63*1000000)/(K58*(1-K61))</f>
        <v>72337.908056373388</v>
      </c>
      <c r="L62" s="191">
        <f>(L63*1000000)/(L58*(1-L61))</f>
        <v>69548.317961289562</v>
      </c>
      <c r="M62" s="104"/>
      <c r="N62" s="191">
        <f>(N63*1000000)/(N58*(1-N61))</f>
        <v>56908.346308550666</v>
      </c>
      <c r="O62" s="191">
        <f>(O63*1000000)/(O58*(1-O61))</f>
        <v>57928.430515389962</v>
      </c>
      <c r="P62" s="191">
        <f>(P63*1000000)/(P58*(1-P61))</f>
        <v>56368.349369535608</v>
      </c>
      <c r="Q62" s="192">
        <f>P62</f>
        <v>56368.349369535608</v>
      </c>
      <c r="R62" s="144"/>
      <c r="S62" s="192">
        <f>Q62+750</f>
        <v>57118.349369535608</v>
      </c>
      <c r="T62" s="192">
        <f>AVERAGE(P62:Q62,S62)</f>
        <v>56618.349369535608</v>
      </c>
      <c r="U62" s="192">
        <f>T62+4000</f>
        <v>60618.349369535608</v>
      </c>
      <c r="V62" s="192">
        <f>U62+2000</f>
        <v>62618.349369535608</v>
      </c>
      <c r="W62" s="104"/>
    </row>
    <row r="63" spans="1:23" s="19" customFormat="1" outlineLevel="1" x14ac:dyDescent="0.25">
      <c r="A63" s="163"/>
      <c r="B63" s="157" t="s">
        <v>89</v>
      </c>
      <c r="C63" s="159"/>
      <c r="D63" s="176">
        <v>2035.06</v>
      </c>
      <c r="E63" s="176">
        <v>2013.8520000000001</v>
      </c>
      <c r="F63" s="176">
        <v>2076.7310000000002</v>
      </c>
      <c r="G63" s="176">
        <v>2409.1089999999999</v>
      </c>
      <c r="H63" s="103"/>
      <c r="I63" s="176">
        <v>2561.8809999999999</v>
      </c>
      <c r="J63" s="176">
        <v>3117.8649999999998</v>
      </c>
      <c r="K63" s="176">
        <v>5878.3050000000003</v>
      </c>
      <c r="L63" s="176">
        <v>6073.4709999999995</v>
      </c>
      <c r="M63" s="103"/>
      <c r="N63" s="176">
        <v>3508.741</v>
      </c>
      <c r="O63" s="176">
        <v>5168.027</v>
      </c>
      <c r="P63" s="176">
        <v>5132</v>
      </c>
      <c r="Q63" s="176">
        <f>((Q58*(1-Q61))*Q62)/1000000</f>
        <v>5606.3031300804632</v>
      </c>
      <c r="R63" s="103"/>
      <c r="S63" s="176">
        <f>((S58*(1-S61))*S62)/1000000</f>
        <v>5372.6361374032331</v>
      </c>
      <c r="T63" s="176">
        <f>((T58*(1-T61))*T62)/1000000</f>
        <v>5709.4000895063973</v>
      </c>
      <c r="U63" s="176">
        <f>((U58*(1-U61))*U62)/1000000</f>
        <v>6705.5151138806677</v>
      </c>
      <c r="V63" s="176">
        <f>((V58*(1-V61))*V62)/1000000</f>
        <v>7507.052272800458</v>
      </c>
      <c r="W63" s="103"/>
    </row>
    <row r="64" spans="1:23" outlineLevel="1" x14ac:dyDescent="0.25">
      <c r="A64" s="138"/>
      <c r="B64" s="160" t="s">
        <v>92</v>
      </c>
      <c r="C64" s="155"/>
      <c r="D64" s="185">
        <v>1496.6489999999999</v>
      </c>
      <c r="E64" s="174">
        <v>1472.578</v>
      </c>
      <c r="F64" s="174">
        <v>1755.6220000000001</v>
      </c>
      <c r="G64" s="174">
        <v>1999.6310000000001</v>
      </c>
      <c r="H64" s="39"/>
      <c r="I64" s="174">
        <v>2091.3969999999999</v>
      </c>
      <c r="J64" s="174">
        <v>2529.739</v>
      </c>
      <c r="K64" s="174">
        <v>4405.9189999999999</v>
      </c>
      <c r="L64" s="174">
        <v>4658.5169999999998</v>
      </c>
      <c r="M64" s="39"/>
      <c r="N64" s="174">
        <v>2856.2089999999998</v>
      </c>
      <c r="O64" s="174">
        <v>4253.7629999999999</v>
      </c>
      <c r="P64" s="174">
        <v>4014</v>
      </c>
      <c r="Q64" s="174">
        <f>Q63*(1-Q65)</f>
        <v>4441.0397975016967</v>
      </c>
      <c r="R64" s="39"/>
      <c r="S64" s="174">
        <f>S63*(1-S65)</f>
        <v>4309.6665683319652</v>
      </c>
      <c r="T64" s="174">
        <f t="shared" ref="T64" si="51">T63*(1-T65)</f>
        <v>4522.7081784630063</v>
      </c>
      <c r="U64" s="174">
        <f t="shared" ref="U64" si="52">U63*(1-U65)</f>
        <v>5311.7818984336236</v>
      </c>
      <c r="V64" s="174">
        <f>V63*(1-V65)</f>
        <v>5946.720527213788</v>
      </c>
      <c r="W64" s="39"/>
    </row>
    <row r="65" spans="1:23" outlineLevel="1" x14ac:dyDescent="0.25">
      <c r="A65" s="138"/>
      <c r="B65" s="127" t="s">
        <v>95</v>
      </c>
      <c r="C65" s="105"/>
      <c r="D65" s="107">
        <f>+(D63-D64)/D63</f>
        <v>0.26456762945564261</v>
      </c>
      <c r="E65" s="107">
        <f t="shared" ref="E65:P65" si="53">+(E63-E64)/E63</f>
        <v>0.26877546115603335</v>
      </c>
      <c r="F65" s="107">
        <f t="shared" si="53"/>
        <v>0.15462233673980891</v>
      </c>
      <c r="G65" s="107">
        <f t="shared" si="53"/>
        <v>0.16997072361607543</v>
      </c>
      <c r="H65" s="109"/>
      <c r="I65" s="107">
        <f t="shared" si="53"/>
        <v>0.18364787435481975</v>
      </c>
      <c r="J65" s="107">
        <f t="shared" si="53"/>
        <v>0.18863100230446148</v>
      </c>
      <c r="K65" s="107">
        <f t="shared" si="53"/>
        <v>0.25047798642635938</v>
      </c>
      <c r="L65" s="107">
        <f t="shared" si="53"/>
        <v>0.232972874983679</v>
      </c>
      <c r="M65" s="106"/>
      <c r="N65" s="107">
        <f t="shared" si="53"/>
        <v>0.18597325935428125</v>
      </c>
      <c r="O65" s="107">
        <f t="shared" si="53"/>
        <v>0.17690774448353311</v>
      </c>
      <c r="P65" s="107">
        <f t="shared" si="53"/>
        <v>0.21784879189399844</v>
      </c>
      <c r="Q65" s="131">
        <f>P65-1%</f>
        <v>0.20784879189399844</v>
      </c>
      <c r="R65" s="106"/>
      <c r="S65" s="131">
        <f>Q65-1%</f>
        <v>0.19784879189399843</v>
      </c>
      <c r="T65" s="131">
        <f>S65+1%</f>
        <v>0.20784879189399844</v>
      </c>
      <c r="U65" s="131">
        <f>T65</f>
        <v>0.20784879189399844</v>
      </c>
      <c r="V65" s="131">
        <f>U65</f>
        <v>0.20784879189399844</v>
      </c>
      <c r="W65" s="106"/>
    </row>
    <row r="66" spans="1:23" s="19" customFormat="1" ht="17.25" outlineLevel="1" x14ac:dyDescent="0.4">
      <c r="A66" s="163"/>
      <c r="B66" s="56" t="s">
        <v>90</v>
      </c>
      <c r="C66" s="57"/>
      <c r="D66" s="123">
        <f>(D67*1000000)/(D58*D61)</f>
        <v>39080.276236477584</v>
      </c>
      <c r="E66" s="123">
        <f>(E67*1000000)/(E58*E61)</f>
        <v>65177.517479342605</v>
      </c>
      <c r="F66" s="123">
        <f>(F67*1000000)/(F58*F61)</f>
        <v>52135.177826726213</v>
      </c>
      <c r="G66" s="123">
        <f>(G67*1000000)/(G58*G61)</f>
        <v>42523.00719196914</v>
      </c>
      <c r="H66" s="103"/>
      <c r="I66" s="123">
        <f>(I67*1000000)/(I58*I61)</f>
        <v>72214.449885080452</v>
      </c>
      <c r="J66" s="123">
        <f>(J67*1000000)/(J58*J61)</f>
        <v>98040.94714809001</v>
      </c>
      <c r="K66" s="123">
        <f>(K67*1000000)/(K58*K61)</f>
        <v>87719.486720381974</v>
      </c>
      <c r="L66" s="123">
        <f>(L67*1000000)/(L58*L61)</f>
        <v>68637.732779280166</v>
      </c>
      <c r="M66" s="103"/>
      <c r="N66" s="123">
        <f>(N67*1000000)/(N58*N61)</f>
        <v>157828.31988261189</v>
      </c>
      <c r="O66" s="123">
        <f>(O67*1000000)/(O58*O61)</f>
        <v>33924.128948225334</v>
      </c>
      <c r="P66" s="123">
        <f>(P67*1000000)/(P58*P61)</f>
        <v>35981.764897427551</v>
      </c>
      <c r="Q66" s="124">
        <f>P66+2500</f>
        <v>38481.764897427551</v>
      </c>
      <c r="R66" s="103"/>
      <c r="S66" s="124">
        <f>Q66+500</f>
        <v>38981.764897427551</v>
      </c>
      <c r="T66" s="124">
        <f>S66+500</f>
        <v>39481.764897427551</v>
      </c>
      <c r="U66" s="124">
        <f>T66+3000</f>
        <v>42481.764897427551</v>
      </c>
      <c r="V66" s="124">
        <f>U66+3000</f>
        <v>45481.764897427551</v>
      </c>
      <c r="W66" s="103"/>
    </row>
    <row r="67" spans="1:23" s="19" customFormat="1" outlineLevel="1" x14ac:dyDescent="0.25">
      <c r="A67" s="163"/>
      <c r="B67" s="58" t="s">
        <v>91</v>
      </c>
      <c r="C67" s="60"/>
      <c r="D67" s="32">
        <v>254.54</v>
      </c>
      <c r="E67" s="32">
        <v>272.76400000000001</v>
      </c>
      <c r="F67" s="32">
        <v>286.15800000000002</v>
      </c>
      <c r="G67" s="32">
        <v>293.08600000000001</v>
      </c>
      <c r="H67" s="103"/>
      <c r="I67" s="32">
        <v>173.43600000000001</v>
      </c>
      <c r="J67" s="32">
        <v>239.816</v>
      </c>
      <c r="K67" s="32">
        <v>220.46100000000001</v>
      </c>
      <c r="L67" s="32">
        <v>249.74799999999999</v>
      </c>
      <c r="M67" s="103"/>
      <c r="N67" s="32">
        <v>215.12</v>
      </c>
      <c r="O67" s="32">
        <v>208.36199999999999</v>
      </c>
      <c r="P67" s="32">
        <v>221</v>
      </c>
      <c r="Q67" s="32">
        <f>((Q58*Q61)*Q66)/1000000</f>
        <v>258.19909904718787</v>
      </c>
      <c r="R67" s="103"/>
      <c r="S67" s="32">
        <f>((S58*S61)*S66)/1000000</f>
        <v>236.94387287859769</v>
      </c>
      <c r="T67" s="32">
        <f>((T58*T61)*T66)/1000000</f>
        <v>257.27763575312184</v>
      </c>
      <c r="U67" s="32">
        <f>((U58*U61)*U66)/1000000</f>
        <v>277.1804592168171</v>
      </c>
      <c r="V67" s="32">
        <f>((V58*V61)*V66)/1000000</f>
        <v>321.61563473958569</v>
      </c>
      <c r="W67" s="103"/>
    </row>
    <row r="68" spans="1:23" outlineLevel="1" x14ac:dyDescent="0.25">
      <c r="A68" s="138"/>
      <c r="B68" s="61" t="s">
        <v>93</v>
      </c>
      <c r="C68" s="57"/>
      <c r="D68" s="26">
        <v>166.02600000000001</v>
      </c>
      <c r="E68" s="26">
        <v>175.43299999999999</v>
      </c>
      <c r="F68" s="26">
        <v>175.22399999999999</v>
      </c>
      <c r="G68" s="26">
        <v>191.541</v>
      </c>
      <c r="H68" s="39"/>
      <c r="I68" s="26">
        <v>104.496</v>
      </c>
      <c r="J68" s="26">
        <v>136.91499999999999</v>
      </c>
      <c r="K68" s="26">
        <v>119.283</v>
      </c>
      <c r="L68" s="26">
        <v>127.73099999999999</v>
      </c>
      <c r="M68" s="39"/>
      <c r="N68" s="26">
        <v>117.092</v>
      </c>
      <c r="O68" s="26">
        <v>106.322</v>
      </c>
      <c r="P68" s="26">
        <v>117</v>
      </c>
      <c r="Q68" s="26">
        <f>Q67*(1-Q69)</f>
        <v>134.22314281539542</v>
      </c>
      <c r="R68" s="39"/>
      <c r="S68" s="26">
        <f>S67*(1-S69)</f>
        <v>135.02094369177422</v>
      </c>
      <c r="T68" s="26">
        <f t="shared" ref="T68" si="54">T67*(1-T69)</f>
        <v>146.6080078296585</v>
      </c>
      <c r="U68" s="26">
        <f t="shared" ref="U68" si="55">U67*(1-U69)</f>
        <v>171.80852687373337</v>
      </c>
      <c r="V68" s="26">
        <f>V67*(1-V69)</f>
        <v>215.43216668055544</v>
      </c>
      <c r="W68" s="39"/>
    </row>
    <row r="69" spans="1:23" outlineLevel="1" x14ac:dyDescent="0.25">
      <c r="A69" s="138"/>
      <c r="B69" s="61" t="s">
        <v>94</v>
      </c>
      <c r="C69" s="57"/>
      <c r="D69" s="130">
        <f>+(D67-D68)/D67</f>
        <v>0.34774102302192184</v>
      </c>
      <c r="E69" s="41">
        <f t="shared" ref="E69:P69" si="56">+(E67-E68)/E67</f>
        <v>0.35683227991963756</v>
      </c>
      <c r="F69" s="41">
        <f t="shared" si="56"/>
        <v>0.38766695322164685</v>
      </c>
      <c r="G69" s="41">
        <f t="shared" si="56"/>
        <v>0.34646827211125747</v>
      </c>
      <c r="H69" s="62"/>
      <c r="I69" s="41">
        <f t="shared" si="56"/>
        <v>0.39749532968933793</v>
      </c>
      <c r="J69" s="41">
        <f t="shared" si="56"/>
        <v>0.42908313039997337</v>
      </c>
      <c r="K69" s="41">
        <f t="shared" si="56"/>
        <v>0.4589383156204499</v>
      </c>
      <c r="L69" s="41">
        <f t="shared" si="56"/>
        <v>0.48856046895270433</v>
      </c>
      <c r="M69" s="39"/>
      <c r="N69" s="41">
        <f t="shared" si="56"/>
        <v>0.45568984752696173</v>
      </c>
      <c r="O69" s="41">
        <f t="shared" si="56"/>
        <v>0.48972461389312827</v>
      </c>
      <c r="P69" s="41">
        <f t="shared" si="56"/>
        <v>0.47058823529411764</v>
      </c>
      <c r="Q69" s="48">
        <f>AVERAGE(O69:P69)</f>
        <v>0.48015642459362295</v>
      </c>
      <c r="R69" s="39"/>
      <c r="S69" s="48">
        <f>Q69-5%</f>
        <v>0.43015642459362297</v>
      </c>
      <c r="T69" s="48">
        <f>S69</f>
        <v>0.43015642459362297</v>
      </c>
      <c r="U69" s="48">
        <f>+T69-5%</f>
        <v>0.38015642459362298</v>
      </c>
      <c r="V69" s="48">
        <f>U69-5%</f>
        <v>0.33015642459362299</v>
      </c>
      <c r="W69" s="39"/>
    </row>
    <row r="70" spans="1:23" ht="18" x14ac:dyDescent="0.4">
      <c r="A70" s="138"/>
      <c r="B70" s="265" t="s">
        <v>105</v>
      </c>
      <c r="C70" s="266"/>
      <c r="D70" s="24" t="s">
        <v>66</v>
      </c>
      <c r="E70" s="24" t="s">
        <v>67</v>
      </c>
      <c r="F70" s="24" t="s">
        <v>68</v>
      </c>
      <c r="G70" s="24" t="s">
        <v>69</v>
      </c>
      <c r="H70" s="64" t="s">
        <v>64</v>
      </c>
      <c r="I70" s="24" t="s">
        <v>70</v>
      </c>
      <c r="J70" s="24" t="s">
        <v>71</v>
      </c>
      <c r="K70" s="24" t="s">
        <v>72</v>
      </c>
      <c r="L70" s="24" t="s">
        <v>73</v>
      </c>
      <c r="M70" s="64" t="s">
        <v>65</v>
      </c>
      <c r="N70" s="24" t="s">
        <v>130</v>
      </c>
      <c r="O70" s="24" t="s">
        <v>131</v>
      </c>
      <c r="P70" s="24" t="s">
        <v>197</v>
      </c>
      <c r="Q70" s="22" t="s">
        <v>74</v>
      </c>
      <c r="R70" s="66" t="s">
        <v>62</v>
      </c>
      <c r="S70" s="22" t="s">
        <v>75</v>
      </c>
      <c r="T70" s="22" t="s">
        <v>76</v>
      </c>
      <c r="U70" s="22" t="s">
        <v>77</v>
      </c>
      <c r="V70" s="22" t="s">
        <v>78</v>
      </c>
      <c r="W70" s="66" t="s">
        <v>63</v>
      </c>
    </row>
    <row r="71" spans="1:23" outlineLevel="1" x14ac:dyDescent="0.25">
      <c r="A71" s="138"/>
      <c r="B71" s="56" t="s">
        <v>97</v>
      </c>
      <c r="C71" s="57"/>
      <c r="D71" s="26">
        <v>61</v>
      </c>
      <c r="E71" s="26">
        <v>97</v>
      </c>
      <c r="F71" s="26">
        <v>110</v>
      </c>
      <c r="G71" s="26">
        <v>143</v>
      </c>
      <c r="H71" s="39"/>
      <c r="I71" s="26">
        <v>343</v>
      </c>
      <c r="J71" s="26">
        <v>203</v>
      </c>
      <c r="K71" s="26">
        <v>239</v>
      </c>
      <c r="L71" s="26">
        <v>225</v>
      </c>
      <c r="M71" s="39"/>
      <c r="N71" s="26">
        <v>229</v>
      </c>
      <c r="O71" s="26">
        <v>415</v>
      </c>
      <c r="P71" s="26"/>
      <c r="Q71" s="26"/>
      <c r="R71" s="39"/>
      <c r="S71" s="26"/>
      <c r="T71" s="26"/>
      <c r="U71" s="26"/>
      <c r="V71" s="26"/>
      <c r="W71" s="39"/>
    </row>
    <row r="72" spans="1:23" outlineLevel="1" x14ac:dyDescent="0.25">
      <c r="A72" s="138"/>
      <c r="B72" s="38" t="s">
        <v>100</v>
      </c>
      <c r="C72" s="57"/>
      <c r="D72" s="26"/>
      <c r="E72" s="26"/>
      <c r="F72" s="26"/>
      <c r="G72" s="26"/>
      <c r="H72" s="39"/>
      <c r="I72" s="44">
        <f>+I71/D71-1</f>
        <v>4.6229508196721314</v>
      </c>
      <c r="J72" s="44">
        <f t="shared" ref="J72:L72" si="57">+J71/E71-1</f>
        <v>1.0927835051546393</v>
      </c>
      <c r="K72" s="44">
        <f t="shared" si="57"/>
        <v>1.1727272727272728</v>
      </c>
      <c r="L72" s="44">
        <f t="shared" si="57"/>
        <v>0.57342657342657333</v>
      </c>
      <c r="M72" s="39"/>
      <c r="N72" s="26"/>
      <c r="O72" s="26"/>
      <c r="P72" s="26"/>
      <c r="Q72" s="26"/>
      <c r="R72" s="39"/>
      <c r="S72" s="26"/>
      <c r="T72" s="26"/>
      <c r="U72" s="26"/>
      <c r="V72" s="26"/>
      <c r="W72" s="39"/>
    </row>
    <row r="73" spans="1:23" outlineLevel="1" x14ac:dyDescent="0.25">
      <c r="A73" s="138"/>
      <c r="B73" s="56" t="s">
        <v>98</v>
      </c>
      <c r="C73" s="57"/>
      <c r="D73" s="26"/>
      <c r="E73" s="26">
        <v>176</v>
      </c>
      <c r="F73" s="26">
        <v>109</v>
      </c>
      <c r="G73" s="26">
        <v>87</v>
      </c>
      <c r="H73" s="39"/>
      <c r="I73" s="26">
        <v>76</v>
      </c>
      <c r="J73" s="26">
        <v>84</v>
      </c>
      <c r="K73" s="26">
        <v>93</v>
      </c>
      <c r="L73" s="26">
        <v>73</v>
      </c>
      <c r="M73" s="39"/>
      <c r="N73" s="26">
        <v>47</v>
      </c>
      <c r="O73" s="26">
        <v>29</v>
      </c>
      <c r="P73" s="26"/>
      <c r="Q73" s="26"/>
      <c r="R73" s="39"/>
      <c r="S73" s="41"/>
      <c r="T73" s="41"/>
      <c r="U73" s="41"/>
      <c r="V73" s="41"/>
      <c r="W73" s="39"/>
    </row>
    <row r="74" spans="1:23" ht="17.25" outlineLevel="1" x14ac:dyDescent="0.4">
      <c r="A74" s="138"/>
      <c r="B74" s="122" t="s">
        <v>99</v>
      </c>
      <c r="C74" s="105"/>
      <c r="D74" s="128">
        <v>0.31</v>
      </c>
      <c r="E74" s="128">
        <v>0.37</v>
      </c>
      <c r="F74" s="128">
        <v>0.46</v>
      </c>
      <c r="G74" s="128">
        <v>0.51</v>
      </c>
      <c r="H74" s="129"/>
      <c r="I74" s="128">
        <v>0.66</v>
      </c>
      <c r="J74" s="128">
        <v>0.68</v>
      </c>
      <c r="K74" s="128">
        <v>0.8</v>
      </c>
      <c r="L74" s="128">
        <v>0.75</v>
      </c>
      <c r="M74" s="129"/>
      <c r="N74" s="128">
        <v>0.73</v>
      </c>
      <c r="O74" s="128">
        <v>0.7</v>
      </c>
      <c r="P74" s="128"/>
      <c r="Q74" s="128"/>
      <c r="R74" s="133"/>
      <c r="S74" s="132"/>
      <c r="T74" s="132"/>
      <c r="U74" s="132"/>
      <c r="V74" s="132"/>
      <c r="W74" s="133"/>
    </row>
    <row r="75" spans="1:23" ht="17.25" outlineLevel="1" x14ac:dyDescent="0.4">
      <c r="A75" s="138"/>
      <c r="B75" s="56" t="s">
        <v>101</v>
      </c>
      <c r="C75" s="57"/>
      <c r="D75" s="26">
        <v>213.94399999999999</v>
      </c>
      <c r="E75" s="26">
        <v>286.77999999999997</v>
      </c>
      <c r="F75" s="26">
        <v>317.505</v>
      </c>
      <c r="G75" s="26">
        <v>298.03699999999998</v>
      </c>
      <c r="H75" s="39"/>
      <c r="I75" s="26">
        <v>410.02199999999999</v>
      </c>
      <c r="J75" s="26">
        <v>374.40800000000002</v>
      </c>
      <c r="K75" s="26">
        <v>399.31700000000001</v>
      </c>
      <c r="L75" s="26">
        <v>371.49700000000001</v>
      </c>
      <c r="M75" s="39"/>
      <c r="N75" s="26">
        <v>324.661</v>
      </c>
      <c r="O75" s="26">
        <v>368.20800000000003</v>
      </c>
      <c r="P75" s="26">
        <v>402</v>
      </c>
      <c r="Q75" s="26">
        <f t="shared" ref="Q75" si="58">L75*(1+Q76)</f>
        <v>448.29247818099401</v>
      </c>
      <c r="R75" s="104"/>
      <c r="S75" s="26">
        <f>N75*(1+S76)</f>
        <v>365.80170837815569</v>
      </c>
      <c r="T75" s="26">
        <f t="shared" ref="T75" si="59">O75*(1+T76)</f>
        <v>411.18485947996209</v>
      </c>
      <c r="U75" s="26">
        <f t="shared" ref="U75" si="60">P75*(1+U76)</f>
        <v>444.90102700360865</v>
      </c>
      <c r="V75" s="26">
        <f t="shared" ref="V75" si="61">Q75*(1+V76)</f>
        <v>460.27039264282655</v>
      </c>
      <c r="W75" s="104"/>
    </row>
    <row r="76" spans="1:23" ht="17.25" outlineLevel="1" x14ac:dyDescent="0.4">
      <c r="A76" s="138"/>
      <c r="B76" s="38" t="s">
        <v>104</v>
      </c>
      <c r="C76" s="57"/>
      <c r="D76" s="26"/>
      <c r="E76" s="26"/>
      <c r="F76" s="26"/>
      <c r="G76" s="26"/>
      <c r="H76" s="39"/>
      <c r="I76" s="41">
        <f>I75/D75-1</f>
        <v>0.91649216617432616</v>
      </c>
      <c r="J76" s="41">
        <f t="shared" ref="J76:K76" si="62">J75/E75-1</f>
        <v>0.30555826766162242</v>
      </c>
      <c r="K76" s="41">
        <f t="shared" si="62"/>
        <v>0.25767153273176802</v>
      </c>
      <c r="L76" s="41">
        <f>L75/G75-1</f>
        <v>0.24647946395917297</v>
      </c>
      <c r="M76" s="39"/>
      <c r="N76" s="41">
        <f>N75/I75-1</f>
        <v>-0.20818638999858541</v>
      </c>
      <c r="O76" s="41">
        <f t="shared" ref="O76:P76" si="63">O75/J75-1</f>
        <v>-1.655947522488832E-2</v>
      </c>
      <c r="P76" s="41">
        <f t="shared" si="63"/>
        <v>6.7189726457925758E-3</v>
      </c>
      <c r="Q76" s="125">
        <f>P76+20%</f>
        <v>0.20671897264579259</v>
      </c>
      <c r="R76" s="104"/>
      <c r="S76" s="125">
        <f>Q76-8%</f>
        <v>0.12671897264579257</v>
      </c>
      <c r="T76" s="125">
        <f>S76-1%</f>
        <v>0.11671897264579258</v>
      </c>
      <c r="U76" s="125">
        <f>T76-1%</f>
        <v>0.10671897264579258</v>
      </c>
      <c r="V76" s="125">
        <f>U76-8%</f>
        <v>2.671897264579258E-2</v>
      </c>
      <c r="W76" s="104"/>
    </row>
    <row r="77" spans="1:23" ht="17.25" outlineLevel="1" x14ac:dyDescent="0.4">
      <c r="A77" s="138"/>
      <c r="B77" s="56" t="s">
        <v>102</v>
      </c>
      <c r="C77" s="57"/>
      <c r="D77" s="26">
        <v>151.773</v>
      </c>
      <c r="E77" s="26">
        <v>203.762</v>
      </c>
      <c r="F77" s="26">
        <v>237.28800000000001</v>
      </c>
      <c r="G77" s="26">
        <v>281.71499999999997</v>
      </c>
      <c r="H77" s="39"/>
      <c r="I77" s="26">
        <v>375.363</v>
      </c>
      <c r="J77" s="26">
        <v>330.27300000000002</v>
      </c>
      <c r="K77" s="26">
        <v>330.55399999999997</v>
      </c>
      <c r="L77" s="26">
        <v>328.70600000000002</v>
      </c>
      <c r="M77" s="39"/>
      <c r="N77" s="26">
        <v>316.887</v>
      </c>
      <c r="O77" s="26">
        <v>325.52300000000002</v>
      </c>
      <c r="P77" s="26">
        <v>314</v>
      </c>
      <c r="Q77" s="26">
        <f t="shared" ref="Q77" si="64">+Q75*(1-Q78)</f>
        <v>372.5734252743037</v>
      </c>
      <c r="R77" s="104"/>
      <c r="S77" s="26">
        <f>+S75*(1-S78)</f>
        <v>335.83502703221529</v>
      </c>
      <c r="T77" s="26">
        <f t="shared" ref="T77" si="65">+T75*(1-T78)</f>
        <v>346.80269827872411</v>
      </c>
      <c r="U77" s="26">
        <f t="shared" ref="U77" si="66">+U75*(1-U78)</f>
        <v>360.70401251306953</v>
      </c>
      <c r="V77" s="26">
        <f>+V75*(1-V78)</f>
        <v>394.6440281360891</v>
      </c>
      <c r="W77" s="104"/>
    </row>
    <row r="78" spans="1:23" ht="17.25" outlineLevel="1" x14ac:dyDescent="0.4">
      <c r="A78" s="138"/>
      <c r="B78" s="38" t="s">
        <v>103</v>
      </c>
      <c r="C78" s="57"/>
      <c r="D78" s="41">
        <f>(D75-D77)/D75</f>
        <v>0.29059473507085964</v>
      </c>
      <c r="E78" s="41">
        <f>(E75-E77)/E75</f>
        <v>0.28948322756119665</v>
      </c>
      <c r="F78" s="41">
        <f>(F75-F77)/F75</f>
        <v>0.25264798979543623</v>
      </c>
      <c r="G78" s="41">
        <f>(G75-G77)/G75</f>
        <v>5.4765012397789546E-2</v>
      </c>
      <c r="H78" s="62"/>
      <c r="I78" s="41">
        <f>(I75-I77)/I75</f>
        <v>8.452961060626013E-2</v>
      </c>
      <c r="J78" s="41">
        <f>(J75-J77)/J75</f>
        <v>0.11787942565329798</v>
      </c>
      <c r="K78" s="41">
        <f>(K75-K77)/K75</f>
        <v>0.17220153411950914</v>
      </c>
      <c r="L78" s="41">
        <f>(L75-L77)/L75</f>
        <v>0.11518531778183941</v>
      </c>
      <c r="M78" s="46"/>
      <c r="N78" s="41">
        <f>(N75-N77)/N75</f>
        <v>2.3944976452361082E-2</v>
      </c>
      <c r="O78" s="41">
        <f>(O75-O77)/O75</f>
        <v>0.11592632425151002</v>
      </c>
      <c r="P78" s="41">
        <f>(P75-P77)/P75</f>
        <v>0.21890547263681592</v>
      </c>
      <c r="Q78" s="48">
        <f>P78-5%</f>
        <v>0.16890547263681593</v>
      </c>
      <c r="R78" s="104"/>
      <c r="S78" s="48">
        <f>AVERAGE(N78,O78,P78:Q78)-5%</f>
        <v>8.1920561494375752E-2</v>
      </c>
      <c r="T78" s="48">
        <f>AVERAGE(P78,Q78,S78)</f>
        <v>0.15657716892266921</v>
      </c>
      <c r="U78" s="48">
        <f>AVERAGE(S78:T78)+7%</f>
        <v>0.18924886520852249</v>
      </c>
      <c r="V78" s="48">
        <f>AVERAGE(S78:U78)</f>
        <v>0.14258219854185583</v>
      </c>
      <c r="W78" s="104"/>
    </row>
    <row r="79" spans="1:23" ht="18" x14ac:dyDescent="0.4">
      <c r="A79" s="138"/>
      <c r="B79" s="265" t="s">
        <v>106</v>
      </c>
      <c r="C79" s="266"/>
      <c r="D79" s="24" t="s">
        <v>66</v>
      </c>
      <c r="E79" s="24" t="s">
        <v>67</v>
      </c>
      <c r="F79" s="24" t="s">
        <v>68</v>
      </c>
      <c r="G79" s="24" t="s">
        <v>69</v>
      </c>
      <c r="H79" s="64" t="s">
        <v>64</v>
      </c>
      <c r="I79" s="24" t="s">
        <v>70</v>
      </c>
      <c r="J79" s="24" t="s">
        <v>71</v>
      </c>
      <c r="K79" s="24" t="s">
        <v>72</v>
      </c>
      <c r="L79" s="24" t="s">
        <v>73</v>
      </c>
      <c r="M79" s="64" t="s">
        <v>65</v>
      </c>
      <c r="N79" s="24" t="s">
        <v>130</v>
      </c>
      <c r="O79" s="24" t="s">
        <v>131</v>
      </c>
      <c r="P79" s="24" t="s">
        <v>197</v>
      </c>
      <c r="Q79" s="22" t="s">
        <v>74</v>
      </c>
      <c r="R79" s="66" t="s">
        <v>62</v>
      </c>
      <c r="S79" s="22" t="s">
        <v>75</v>
      </c>
      <c r="T79" s="22" t="s">
        <v>76</v>
      </c>
      <c r="U79" s="22" t="s">
        <v>77</v>
      </c>
      <c r="V79" s="22" t="s">
        <v>78</v>
      </c>
      <c r="W79" s="66" t="s">
        <v>63</v>
      </c>
    </row>
    <row r="80" spans="1:23" ht="17.25" outlineLevel="1" x14ac:dyDescent="0.4">
      <c r="A80" s="138"/>
      <c r="B80" s="56" t="s">
        <v>107</v>
      </c>
      <c r="C80" s="57"/>
      <c r="D80" s="26">
        <v>192.726</v>
      </c>
      <c r="E80" s="26">
        <v>216.161</v>
      </c>
      <c r="F80" s="26">
        <v>304.28100000000001</v>
      </c>
      <c r="G80" s="26">
        <v>288.017</v>
      </c>
      <c r="H80" s="39"/>
      <c r="I80" s="26">
        <v>263.41199999999998</v>
      </c>
      <c r="J80" s="26">
        <v>270.142</v>
      </c>
      <c r="K80" s="26">
        <v>326.33</v>
      </c>
      <c r="L80" s="26">
        <v>531.15700000000004</v>
      </c>
      <c r="M80" s="39"/>
      <c r="N80" s="26">
        <v>492.94200000000001</v>
      </c>
      <c r="O80" s="26">
        <v>605.07899999999995</v>
      </c>
      <c r="P80" s="26">
        <v>548</v>
      </c>
      <c r="Q80" s="26">
        <f t="shared" ref="Q80" si="67">L80*(1+Q81)</f>
        <v>610.83055000000002</v>
      </c>
      <c r="R80" s="104"/>
      <c r="S80" s="26">
        <f>N80*(1+S81)</f>
        <v>591.53039999999999</v>
      </c>
      <c r="T80" s="26">
        <f t="shared" ref="T80" si="68">O80*(1+T81)</f>
        <v>665.58690000000001</v>
      </c>
      <c r="U80" s="26">
        <f t="shared" ref="U80" si="69">P80*(1+U81)</f>
        <v>602.80000000000007</v>
      </c>
      <c r="V80" s="26">
        <f t="shared" ref="V80" si="70">Q80*(1+V81)</f>
        <v>671.91360500000008</v>
      </c>
      <c r="W80" s="104"/>
    </row>
    <row r="81" spans="1:23" ht="17.25" outlineLevel="1" x14ac:dyDescent="0.4">
      <c r="A81" s="138"/>
      <c r="B81" s="38" t="s">
        <v>108</v>
      </c>
      <c r="C81" s="57"/>
      <c r="D81" s="26"/>
      <c r="E81" s="26"/>
      <c r="F81" s="26"/>
      <c r="G81" s="26"/>
      <c r="H81" s="39"/>
      <c r="I81" s="41">
        <f>I80/D80-1</f>
        <v>0.36676940319417195</v>
      </c>
      <c r="J81" s="41">
        <f t="shared" ref="J81" si="71">J80/E80-1</f>
        <v>0.2497258987513935</v>
      </c>
      <c r="K81" s="41">
        <f t="shared" ref="K81" si="72">K80/F80-1</f>
        <v>7.2462625007805315E-2</v>
      </c>
      <c r="L81" s="41">
        <f>L80/G80-1</f>
        <v>0.84418628067093282</v>
      </c>
      <c r="M81" s="39"/>
      <c r="N81" s="41">
        <f>N80/I80-1</f>
        <v>0.87137260261491511</v>
      </c>
      <c r="O81" s="41">
        <f t="shared" ref="O81:P81" si="73">O80/J80-1</f>
        <v>1.2398553353421531</v>
      </c>
      <c r="P81" s="41">
        <f t="shared" si="73"/>
        <v>0.67928170869978244</v>
      </c>
      <c r="Q81" s="125">
        <v>0.15</v>
      </c>
      <c r="R81" s="104"/>
      <c r="S81" s="125">
        <f>Q81+5%</f>
        <v>0.2</v>
      </c>
      <c r="T81" s="125">
        <f>S81-10%</f>
        <v>0.1</v>
      </c>
      <c r="U81" s="125">
        <f>T81</f>
        <v>0.1</v>
      </c>
      <c r="V81" s="125">
        <f>U81</f>
        <v>0.1</v>
      </c>
      <c r="W81" s="104"/>
    </row>
    <row r="82" spans="1:23" ht="17.25" outlineLevel="1" x14ac:dyDescent="0.4">
      <c r="A82" s="138"/>
      <c r="B82" s="56" t="s">
        <v>109</v>
      </c>
      <c r="C82" s="57"/>
      <c r="D82" s="26">
        <v>213.876</v>
      </c>
      <c r="E82" s="26">
        <v>271.16899999999998</v>
      </c>
      <c r="F82" s="26">
        <v>367.40100000000001</v>
      </c>
      <c r="G82" s="26">
        <v>376.57600000000002</v>
      </c>
      <c r="H82" s="39"/>
      <c r="I82" s="26">
        <v>380.96899999999999</v>
      </c>
      <c r="J82" s="26">
        <v>386.37400000000002</v>
      </c>
      <c r="K82" s="26">
        <v>444.99200000000002</v>
      </c>
      <c r="L82" s="26">
        <v>668.01900000000001</v>
      </c>
      <c r="M82" s="39"/>
      <c r="N82" s="26">
        <v>685.53300000000002</v>
      </c>
      <c r="O82" s="26">
        <v>743.02200000000005</v>
      </c>
      <c r="P82" s="26">
        <v>667</v>
      </c>
      <c r="Q82" s="26">
        <f>+Q80*(1-Q83)</f>
        <v>743.47441031021901</v>
      </c>
      <c r="R82" s="104"/>
      <c r="S82" s="26">
        <f>+S80*(1-S83)</f>
        <v>690.40664934306574</v>
      </c>
      <c r="T82" s="26">
        <f t="shared" ref="T82:V82" si="74">+T80*(1-T83)</f>
        <v>743.56259156934311</v>
      </c>
      <c r="U82" s="26">
        <f t="shared" si="74"/>
        <v>673.42000000000007</v>
      </c>
      <c r="V82" s="26">
        <f t="shared" si="74"/>
        <v>750.630490841241</v>
      </c>
      <c r="W82" s="104"/>
    </row>
    <row r="83" spans="1:23" ht="17.25" outlineLevel="1" x14ac:dyDescent="0.4">
      <c r="A83" s="138"/>
      <c r="B83" s="38" t="s">
        <v>110</v>
      </c>
      <c r="C83" s="57"/>
      <c r="D83" s="41">
        <f>(D80-D82)/D80</f>
        <v>-0.10974129074437287</v>
      </c>
      <c r="E83" s="41">
        <f>(E80-E82)/E80</f>
        <v>-0.25447698706057048</v>
      </c>
      <c r="F83" s="41">
        <f>(F80-F82)/F80</f>
        <v>-0.20743983357488638</v>
      </c>
      <c r="G83" s="41">
        <f>(G80-G82)/G80</f>
        <v>-0.30747837801240907</v>
      </c>
      <c r="H83" s="62"/>
      <c r="I83" s="41">
        <f>(I80-I82)/I80</f>
        <v>-0.44628566656036939</v>
      </c>
      <c r="J83" s="41">
        <f>(J80-J82)/J80</f>
        <v>-0.43026260263120886</v>
      </c>
      <c r="K83" s="41">
        <f>(K80-K82)/K80</f>
        <v>-0.36362577758710518</v>
      </c>
      <c r="L83" s="41">
        <f>(L80-L82)/L80</f>
        <v>-0.25766769523888411</v>
      </c>
      <c r="M83" s="46"/>
      <c r="N83" s="41">
        <f>(N80-N82)/N80</f>
        <v>-0.390697079981012</v>
      </c>
      <c r="O83" s="41">
        <f>(O80-O82)/O80</f>
        <v>-0.22797519001651043</v>
      </c>
      <c r="P83" s="41">
        <f>(P80-P82)/P80</f>
        <v>-0.21715328467153286</v>
      </c>
      <c r="Q83" s="48">
        <f>P83</f>
        <v>-0.21715328467153286</v>
      </c>
      <c r="R83" s="104"/>
      <c r="S83" s="48">
        <f>Q83+5%</f>
        <v>-0.16715328467153284</v>
      </c>
      <c r="T83" s="48">
        <f>S83+5%</f>
        <v>-0.11715328467153284</v>
      </c>
      <c r="U83" s="48">
        <f>T83</f>
        <v>-0.11715328467153284</v>
      </c>
      <c r="V83" s="48">
        <f>U83</f>
        <v>-0.11715328467153284</v>
      </c>
      <c r="W83" s="104"/>
    </row>
    <row r="84" spans="1:23" ht="18" x14ac:dyDescent="0.4">
      <c r="A84" s="138"/>
      <c r="B84" s="265" t="s">
        <v>18</v>
      </c>
      <c r="C84" s="266"/>
      <c r="D84" s="24" t="s">
        <v>66</v>
      </c>
      <c r="E84" s="24" t="s">
        <v>67</v>
      </c>
      <c r="F84" s="24" t="s">
        <v>68</v>
      </c>
      <c r="G84" s="24" t="s">
        <v>69</v>
      </c>
      <c r="H84" s="64" t="s">
        <v>64</v>
      </c>
      <c r="I84" s="24" t="s">
        <v>70</v>
      </c>
      <c r="J84" s="24" t="s">
        <v>71</v>
      </c>
      <c r="K84" s="24" t="s">
        <v>72</v>
      </c>
      <c r="L84" s="24" t="s">
        <v>73</v>
      </c>
      <c r="M84" s="64" t="s">
        <v>65</v>
      </c>
      <c r="N84" s="24" t="s">
        <v>130</v>
      </c>
      <c r="O84" s="24" t="s">
        <v>131</v>
      </c>
      <c r="P84" s="24" t="s">
        <v>197</v>
      </c>
      <c r="Q84" s="22" t="s">
        <v>74</v>
      </c>
      <c r="R84" s="66" t="s">
        <v>62</v>
      </c>
      <c r="S84" s="22" t="s">
        <v>75</v>
      </c>
      <c r="T84" s="22" t="s">
        <v>76</v>
      </c>
      <c r="U84" s="22" t="s">
        <v>77</v>
      </c>
      <c r="V84" s="22" t="s">
        <v>78</v>
      </c>
      <c r="W84" s="66" t="s">
        <v>63</v>
      </c>
    </row>
    <row r="85" spans="1:23" s="85" customFormat="1" ht="15.6" customHeight="1" outlineLevel="1" x14ac:dyDescent="0.25">
      <c r="A85" s="164"/>
      <c r="B85" s="82" t="s">
        <v>21</v>
      </c>
      <c r="C85" s="86"/>
      <c r="D85" s="83">
        <f>+D13-D63-D67-D75-D80</f>
        <v>0</v>
      </c>
      <c r="E85" s="83">
        <f>+E13-E63-E67-E75-E80</f>
        <v>-2.8421709430404007E-13</v>
      </c>
      <c r="F85" s="83">
        <f>+F13-F63-F67-F75-F80</f>
        <v>0</v>
      </c>
      <c r="G85" s="83">
        <f>+G13-G63-G67-G75-G80</f>
        <v>1.2505552149377763E-12</v>
      </c>
      <c r="H85" s="84"/>
      <c r="I85" s="83">
        <f>+I13-I63-I67-I75-I80</f>
        <v>0</v>
      </c>
      <c r="J85" s="83">
        <f>+J13-J63-J67-J75-J80</f>
        <v>0</v>
      </c>
      <c r="K85" s="83">
        <f>+K13-K63-K67-K75-K80</f>
        <v>-7.3896444519050419E-13</v>
      </c>
      <c r="L85" s="83">
        <f>+L13-L63-L67-L75-L80</f>
        <v>0</v>
      </c>
      <c r="M85" s="84"/>
      <c r="N85" s="83">
        <f>+N13-N63-N67-N75-N80</f>
        <v>0</v>
      </c>
      <c r="O85" s="83">
        <f>+O13-O63-O67-O75-O80</f>
        <v>0</v>
      </c>
      <c r="P85" s="83">
        <f>+P13-P63-P67-P75-P80</f>
        <v>0</v>
      </c>
      <c r="Q85" s="83">
        <f>+Q13-Q63-Q67-Q75-Q80</f>
        <v>0</v>
      </c>
      <c r="R85" s="84"/>
      <c r="S85" s="83">
        <f>+S13-S63-S67-S75-S80</f>
        <v>0</v>
      </c>
      <c r="T85" s="83">
        <f>+T13-T63-T67-T75-T80</f>
        <v>0</v>
      </c>
      <c r="U85" s="83">
        <f>+U13-U63-U67-U75-U80</f>
        <v>0</v>
      </c>
      <c r="V85" s="83">
        <f>+V13-V63-V67-V75-V80</f>
        <v>0</v>
      </c>
      <c r="W85" s="84"/>
    </row>
    <row r="86" spans="1:23" s="85" customFormat="1" ht="15.6" customHeight="1" outlineLevel="1" x14ac:dyDescent="0.25">
      <c r="A86" s="164"/>
      <c r="B86" s="82" t="s">
        <v>114</v>
      </c>
      <c r="C86" s="86"/>
      <c r="D86" s="83">
        <f>+D14-D64-D68-D77-D82</f>
        <v>0</v>
      </c>
      <c r="E86" s="83">
        <f>+E14-E64-E68-E77-E82</f>
        <v>0</v>
      </c>
      <c r="F86" s="83">
        <f>+F14-F64-F68-F77-F82</f>
        <v>0</v>
      </c>
      <c r="G86" s="83">
        <f>+G14-G64-G68-G77-G82</f>
        <v>-7.3896444519050419E-13</v>
      </c>
      <c r="H86" s="84"/>
      <c r="I86" s="83">
        <f>+I14-I64-I68-I77-I82</f>
        <v>0</v>
      </c>
      <c r="J86" s="83">
        <f>+J14-J64-J68-J77-J82</f>
        <v>0</v>
      </c>
      <c r="K86" s="83">
        <f>+K14-K64-K68-K77-K82</f>
        <v>0</v>
      </c>
      <c r="L86" s="83">
        <f>+L14-L64-L68-L77-L82</f>
        <v>0</v>
      </c>
      <c r="M86" s="84"/>
      <c r="N86" s="83">
        <f>+N14-N64-N68-N77-N82</f>
        <v>0</v>
      </c>
      <c r="O86" s="83">
        <f>+O14-O64-O68-O77-O82</f>
        <v>0</v>
      </c>
      <c r="P86" s="83">
        <f>+P14-P64-P68-P77-P82</f>
        <v>0</v>
      </c>
      <c r="Q86" s="83">
        <f>+Q14-Q64-Q68-Q77-Q82</f>
        <v>0</v>
      </c>
      <c r="R86" s="84"/>
      <c r="S86" s="83">
        <f>+S14-S64-S68-S77-S82</f>
        <v>0</v>
      </c>
      <c r="T86" s="83">
        <f>+T14-T64-T68-T77-T82</f>
        <v>-9.0949470177292824E-13</v>
      </c>
      <c r="U86" s="83">
        <f>+U14-U64-U68-U77-U82</f>
        <v>0</v>
      </c>
      <c r="V86" s="83">
        <f>+V14-V64-V68-V77-V82</f>
        <v>0</v>
      </c>
      <c r="W86" s="84"/>
    </row>
    <row r="87" spans="1:23" ht="15" customHeight="1" x14ac:dyDescent="0.4">
      <c r="A87" s="138"/>
      <c r="B87" s="257" t="s">
        <v>50</v>
      </c>
      <c r="C87" s="258"/>
      <c r="D87" s="24" t="s">
        <v>66</v>
      </c>
      <c r="E87" s="24" t="s">
        <v>67</v>
      </c>
      <c r="F87" s="24" t="s">
        <v>68</v>
      </c>
      <c r="G87" s="24" t="s">
        <v>69</v>
      </c>
      <c r="H87" s="64" t="s">
        <v>64</v>
      </c>
      <c r="I87" s="24" t="s">
        <v>70</v>
      </c>
      <c r="J87" s="24" t="s">
        <v>71</v>
      </c>
      <c r="K87" s="24" t="s">
        <v>72</v>
      </c>
      <c r="L87" s="24" t="s">
        <v>73</v>
      </c>
      <c r="M87" s="64" t="s">
        <v>65</v>
      </c>
      <c r="N87" s="24" t="s">
        <v>130</v>
      </c>
      <c r="O87" s="24" t="s">
        <v>131</v>
      </c>
      <c r="P87" s="24" t="s">
        <v>197</v>
      </c>
      <c r="Q87" s="22" t="s">
        <v>74</v>
      </c>
      <c r="R87" s="66" t="s">
        <v>62</v>
      </c>
      <c r="S87" s="22" t="s">
        <v>75</v>
      </c>
      <c r="T87" s="22" t="s">
        <v>76</v>
      </c>
      <c r="U87" s="22" t="s">
        <v>77</v>
      </c>
      <c r="V87" s="22" t="s">
        <v>78</v>
      </c>
      <c r="W87" s="66" t="s">
        <v>63</v>
      </c>
    </row>
    <row r="88" spans="1:23" s="34" customFormat="1" outlineLevel="1" x14ac:dyDescent="0.25">
      <c r="A88" s="161"/>
      <c r="B88" s="56" t="s">
        <v>116</v>
      </c>
      <c r="C88" s="57"/>
      <c r="D88" s="26">
        <v>10.031000000000001</v>
      </c>
      <c r="E88" s="26">
        <v>7.4660000000000002</v>
      </c>
      <c r="F88" s="26">
        <v>10.166</v>
      </c>
      <c r="G88" s="26">
        <v>16.181999999999999</v>
      </c>
      <c r="H88" s="27"/>
      <c r="I88" s="26">
        <v>15.077999999999999</v>
      </c>
      <c r="J88" s="26">
        <v>13.198</v>
      </c>
      <c r="K88" s="26">
        <v>20.954999999999998</v>
      </c>
      <c r="L88" s="26">
        <v>22.565999999999999</v>
      </c>
      <c r="M88" s="27"/>
      <c r="N88" s="165"/>
      <c r="O88" s="26"/>
      <c r="P88" s="26"/>
      <c r="Q88" s="26"/>
      <c r="R88" s="27"/>
      <c r="S88" s="26"/>
      <c r="T88" s="26"/>
      <c r="U88" s="26"/>
      <c r="V88" s="26"/>
      <c r="W88" s="27"/>
    </row>
    <row r="89" spans="1:23" s="34" customFormat="1" outlineLevel="1" x14ac:dyDescent="0.25">
      <c r="A89" s="161"/>
      <c r="B89" s="56" t="s">
        <v>119</v>
      </c>
      <c r="C89" s="57"/>
      <c r="D89" s="26">
        <v>103.717</v>
      </c>
      <c r="E89" s="26">
        <v>116.042</v>
      </c>
      <c r="F89" s="26">
        <v>112.65300000000001</v>
      </c>
      <c r="G89" s="26">
        <v>134.34800000000001</v>
      </c>
      <c r="H89" s="27"/>
      <c r="I89" s="26">
        <v>141.63900000000001</v>
      </c>
      <c r="J89" s="26">
        <v>197.34399999999999</v>
      </c>
      <c r="K89" s="26">
        <v>204.72800000000001</v>
      </c>
      <c r="L89" s="26">
        <v>205.31299999999999</v>
      </c>
      <c r="M89" s="27"/>
      <c r="N89" s="26">
        <v>208.37799999999999</v>
      </c>
      <c r="O89" s="26">
        <v>209.863</v>
      </c>
      <c r="P89" s="26">
        <v>199</v>
      </c>
      <c r="Q89" s="47">
        <f>AVERAGE(O89:P89)</f>
        <v>204.4315</v>
      </c>
      <c r="R89" s="27"/>
      <c r="S89" s="47">
        <f>Q89</f>
        <v>204.4315</v>
      </c>
      <c r="T89" s="47">
        <f>S89</f>
        <v>204.4315</v>
      </c>
      <c r="U89" s="47">
        <f t="shared" ref="U89:V89" si="75">T89</f>
        <v>204.4315</v>
      </c>
      <c r="V89" s="47">
        <f t="shared" si="75"/>
        <v>204.4315</v>
      </c>
      <c r="W89" s="27"/>
    </row>
    <row r="90" spans="1:23" s="34" customFormat="1" outlineLevel="1" x14ac:dyDescent="0.25">
      <c r="A90" s="161"/>
      <c r="B90" s="56" t="s">
        <v>117</v>
      </c>
      <c r="C90" s="57"/>
      <c r="D90" s="26">
        <v>0</v>
      </c>
      <c r="E90" s="26">
        <v>-100</v>
      </c>
      <c r="F90" s="26">
        <v>-0.57499999999999996</v>
      </c>
      <c r="G90" s="26">
        <v>-179.142</v>
      </c>
      <c r="H90" s="27"/>
      <c r="I90" s="26">
        <v>-50.314</v>
      </c>
      <c r="J90" s="26">
        <v>0</v>
      </c>
      <c r="K90" s="26">
        <v>-52.268999999999998</v>
      </c>
      <c r="L90" s="26">
        <v>-0.76800000000000002</v>
      </c>
      <c r="M90" s="27"/>
      <c r="N90" s="26">
        <v>0</v>
      </c>
      <c r="O90" s="26">
        <v>0</v>
      </c>
      <c r="P90" s="26">
        <v>0</v>
      </c>
      <c r="Q90" s="26">
        <v>0</v>
      </c>
      <c r="R90" s="27"/>
      <c r="S90" s="26">
        <v>0</v>
      </c>
      <c r="T90" s="26">
        <v>0</v>
      </c>
      <c r="U90" s="26">
        <v>0</v>
      </c>
      <c r="V90" s="26">
        <v>0</v>
      </c>
      <c r="W90" s="27"/>
    </row>
    <row r="91" spans="1:23" s="34" customFormat="1" outlineLevel="1" x14ac:dyDescent="0.25">
      <c r="A91" s="161"/>
      <c r="B91" s="56" t="s">
        <v>118</v>
      </c>
      <c r="C91" s="57"/>
      <c r="D91" s="26">
        <v>0</v>
      </c>
      <c r="E91" s="26">
        <v>0</v>
      </c>
      <c r="F91" s="26">
        <v>0</v>
      </c>
      <c r="G91" s="26">
        <v>0</v>
      </c>
      <c r="H91" s="27"/>
      <c r="I91" s="26">
        <v>0</v>
      </c>
      <c r="J91" s="26">
        <v>0</v>
      </c>
      <c r="K91" s="26">
        <v>0</v>
      </c>
      <c r="L91" s="26">
        <v>0</v>
      </c>
      <c r="M91" s="27"/>
      <c r="N91" s="26">
        <v>0</v>
      </c>
      <c r="O91" s="26">
        <v>0</v>
      </c>
      <c r="P91" s="26">
        <v>0</v>
      </c>
      <c r="Q91" s="26">
        <v>0</v>
      </c>
      <c r="R91" s="27"/>
      <c r="S91" s="26">
        <v>0</v>
      </c>
      <c r="T91" s="26">
        <v>0</v>
      </c>
      <c r="U91" s="26">
        <v>0</v>
      </c>
      <c r="V91" s="26">
        <v>0</v>
      </c>
      <c r="W91" s="27"/>
    </row>
    <row r="92" spans="1:23" s="34" customFormat="1" outlineLevel="1" x14ac:dyDescent="0.25">
      <c r="A92" s="161"/>
      <c r="B92" s="56" t="s">
        <v>124</v>
      </c>
      <c r="C92" s="57"/>
      <c r="D92" s="26"/>
      <c r="E92" s="26"/>
      <c r="F92" s="26"/>
      <c r="G92" s="26"/>
      <c r="H92" s="27"/>
      <c r="I92" s="26"/>
      <c r="J92" s="26"/>
      <c r="K92" s="26"/>
      <c r="L92" s="26"/>
      <c r="M92" s="27"/>
      <c r="N92" s="26">
        <v>0</v>
      </c>
      <c r="O92" s="26">
        <v>0</v>
      </c>
      <c r="P92" s="26">
        <v>0</v>
      </c>
      <c r="Q92" s="26">
        <v>0</v>
      </c>
      <c r="R92" s="27"/>
      <c r="S92" s="26"/>
      <c r="T92" s="26"/>
      <c r="U92" s="26"/>
      <c r="V92" s="26"/>
      <c r="W92" s="27"/>
    </row>
    <row r="93" spans="1:23" s="34" customFormat="1" outlineLevel="1" x14ac:dyDescent="0.25">
      <c r="A93" s="161"/>
      <c r="B93" s="56" t="s">
        <v>120</v>
      </c>
      <c r="C93" s="57"/>
      <c r="D93" s="26">
        <v>11.571</v>
      </c>
      <c r="E93" s="26">
        <v>0</v>
      </c>
      <c r="F93" s="26">
        <v>18.225000000000001</v>
      </c>
      <c r="G93" s="26">
        <v>27.95</v>
      </c>
      <c r="H93" s="27"/>
      <c r="I93" s="26">
        <v>0</v>
      </c>
      <c r="J93" s="26">
        <v>0</v>
      </c>
      <c r="K93" s="26">
        <v>0</v>
      </c>
      <c r="L93" s="26">
        <v>0</v>
      </c>
      <c r="M93" s="27"/>
      <c r="N93" s="26">
        <v>0</v>
      </c>
      <c r="O93" s="26">
        <v>0</v>
      </c>
      <c r="P93" s="26">
        <v>0</v>
      </c>
      <c r="Q93" s="26">
        <v>0</v>
      </c>
      <c r="R93" s="27"/>
      <c r="S93" s="26">
        <v>0</v>
      </c>
      <c r="T93" s="26">
        <v>0</v>
      </c>
      <c r="U93" s="26">
        <v>0</v>
      </c>
      <c r="V93" s="26">
        <v>0</v>
      </c>
      <c r="W93" s="27"/>
    </row>
    <row r="94" spans="1:23" ht="15" customHeight="1" x14ac:dyDescent="0.4">
      <c r="A94" s="138"/>
      <c r="B94" s="257" t="s">
        <v>13</v>
      </c>
      <c r="C94" s="258"/>
      <c r="D94" s="24" t="s">
        <v>66</v>
      </c>
      <c r="E94" s="24" t="s">
        <v>67</v>
      </c>
      <c r="F94" s="24" t="s">
        <v>68</v>
      </c>
      <c r="G94" s="24" t="s">
        <v>69</v>
      </c>
      <c r="H94" s="64" t="s">
        <v>64</v>
      </c>
      <c r="I94" s="24" t="s">
        <v>70</v>
      </c>
      <c r="J94" s="24" t="s">
        <v>71</v>
      </c>
      <c r="K94" s="24" t="s">
        <v>72</v>
      </c>
      <c r="L94" s="24" t="s">
        <v>73</v>
      </c>
      <c r="M94" s="64" t="s">
        <v>65</v>
      </c>
      <c r="N94" s="24" t="s">
        <v>130</v>
      </c>
      <c r="O94" s="24" t="s">
        <v>131</v>
      </c>
      <c r="P94" s="24" t="s">
        <v>197</v>
      </c>
      <c r="Q94" s="22" t="s">
        <v>74</v>
      </c>
      <c r="R94" s="66" t="s">
        <v>62</v>
      </c>
      <c r="S94" s="22" t="s">
        <v>75</v>
      </c>
      <c r="T94" s="22" t="s">
        <v>76</v>
      </c>
      <c r="U94" s="22" t="s">
        <v>77</v>
      </c>
      <c r="V94" s="22" t="s">
        <v>78</v>
      </c>
      <c r="W94" s="66" t="s">
        <v>63</v>
      </c>
    </row>
    <row r="95" spans="1:23" s="34" customFormat="1" outlineLevel="1" x14ac:dyDescent="0.25">
      <c r="A95" s="161"/>
      <c r="B95" s="255" t="s">
        <v>128</v>
      </c>
      <c r="C95" s="256"/>
      <c r="D95" s="41">
        <f t="shared" ref="D95:W95" si="76">(D15/D13)</f>
        <v>0.24772964131930406</v>
      </c>
      <c r="E95" s="41">
        <f t="shared" si="76"/>
        <v>0.23896805119952733</v>
      </c>
      <c r="F95" s="41">
        <f t="shared" si="76"/>
        <v>0.15048204578387941</v>
      </c>
      <c r="G95" s="41">
        <f t="shared" si="76"/>
        <v>0.13344062447825628</v>
      </c>
      <c r="H95" s="43">
        <f t="shared" si="76"/>
        <v>0.1890070637604285</v>
      </c>
      <c r="I95" s="41">
        <f t="shared" si="76"/>
        <v>0.1339276468125716</v>
      </c>
      <c r="J95" s="41">
        <f t="shared" si="76"/>
        <v>0.15464624605626218</v>
      </c>
      <c r="K95" s="41">
        <f t="shared" si="76"/>
        <v>0.22326682162993361</v>
      </c>
      <c r="L95" s="41">
        <f t="shared" si="76"/>
        <v>0.19968521450626101</v>
      </c>
      <c r="M95" s="43">
        <f t="shared" si="76"/>
        <v>0.18834026954977687</v>
      </c>
      <c r="N95" s="41">
        <f t="shared" si="76"/>
        <v>0.1245728249745016</v>
      </c>
      <c r="O95" s="41">
        <f t="shared" si="76"/>
        <v>0.14505401535448426</v>
      </c>
      <c r="P95" s="41">
        <f t="shared" si="76"/>
        <v>0.18895763921941933</v>
      </c>
      <c r="Q95" s="41">
        <f t="shared" si="76"/>
        <v>0.17798688340420885</v>
      </c>
      <c r="R95" s="43">
        <f t="shared" si="76"/>
        <v>0.16212544734931908</v>
      </c>
      <c r="S95" s="41">
        <f t="shared" si="76"/>
        <v>0.16689471557670366</v>
      </c>
      <c r="T95" s="41">
        <f t="shared" si="76"/>
        <v>0.18226410388548894</v>
      </c>
      <c r="U95" s="41">
        <f t="shared" si="76"/>
        <v>0.18836954606471421</v>
      </c>
      <c r="V95" s="41">
        <f t="shared" si="76"/>
        <v>0.18451646225230786</v>
      </c>
      <c r="W95" s="43">
        <f t="shared" si="76"/>
        <v>0.18122764696874247</v>
      </c>
    </row>
    <row r="96" spans="1:23" s="34" customFormat="1" outlineLevel="1" x14ac:dyDescent="0.25">
      <c r="A96" s="161"/>
      <c r="B96" s="255" t="s">
        <v>129</v>
      </c>
      <c r="C96" s="256"/>
      <c r="D96" s="41">
        <f t="shared" ref="D96:W96" si="77">D16/D13</f>
        <v>0.25144996606422942</v>
      </c>
      <c r="E96" s="41">
        <f t="shared" si="77"/>
        <v>0.20579647592789818</v>
      </c>
      <c r="F96" s="41">
        <f t="shared" si="77"/>
        <v>0.15369546097983877</v>
      </c>
      <c r="G96" s="41">
        <f t="shared" si="77"/>
        <v>8.3882333728376959E-2</v>
      </c>
      <c r="H96" s="43">
        <f t="shared" si="77"/>
        <v>0.16894779045835745</v>
      </c>
      <c r="I96" s="41">
        <f t="shared" si="77"/>
        <v>0.12359072281900327</v>
      </c>
      <c r="J96" s="41">
        <f t="shared" si="77"/>
        <v>0.15794390678599018</v>
      </c>
      <c r="K96" s="41">
        <f t="shared" si="77"/>
        <v>0.21867829511490586</v>
      </c>
      <c r="L96" s="41">
        <f t="shared" si="77"/>
        <v>0.20270187422336369</v>
      </c>
      <c r="M96" s="43">
        <f t="shared" si="77"/>
        <v>0.18686999295661372</v>
      </c>
      <c r="N96" s="41">
        <f t="shared" si="77"/>
        <v>0.1245728249745016</v>
      </c>
      <c r="O96" s="41">
        <f t="shared" si="77"/>
        <v>0.14505401535448426</v>
      </c>
      <c r="P96" s="41">
        <f t="shared" si="77"/>
        <v>0.18895763921941933</v>
      </c>
      <c r="Q96" s="41">
        <f t="shared" si="77"/>
        <v>0.17798688340420885</v>
      </c>
      <c r="R96" s="43">
        <f t="shared" si="77"/>
        <v>0.16212544734931908</v>
      </c>
      <c r="S96" s="41">
        <f t="shared" si="77"/>
        <v>0.16689471557670366</v>
      </c>
      <c r="T96" s="41">
        <f t="shared" si="77"/>
        <v>0.18226410388548894</v>
      </c>
      <c r="U96" s="41">
        <f t="shared" si="77"/>
        <v>0.18836954606471421</v>
      </c>
      <c r="V96" s="41">
        <f t="shared" si="77"/>
        <v>0.18451646225230786</v>
      </c>
      <c r="W96" s="43">
        <f t="shared" si="77"/>
        <v>0.18122764696874244</v>
      </c>
    </row>
    <row r="97" spans="1:23" s="34" customFormat="1" outlineLevel="1" x14ac:dyDescent="0.25">
      <c r="A97" s="161"/>
      <c r="B97" s="255" t="s">
        <v>111</v>
      </c>
      <c r="C97" s="256"/>
      <c r="D97" s="41">
        <f t="shared" ref="D97:W97" si="78">D21/D13</f>
        <v>-9.5520478290379005E-2</v>
      </c>
      <c r="E97" s="41">
        <f t="shared" si="78"/>
        <v>-8.6363533708040452E-2</v>
      </c>
      <c r="F97" s="41">
        <f t="shared" si="78"/>
        <v>-0.1794098184894502</v>
      </c>
      <c r="G97" s="41">
        <f t="shared" si="78"/>
        <v>-0.18190258706077242</v>
      </c>
      <c r="H97" s="43">
        <f t="shared" si="78"/>
        <v>-0.13879756446921931</v>
      </c>
      <c r="I97" s="41">
        <f t="shared" si="78"/>
        <v>-0.17512983494540954</v>
      </c>
      <c r="J97" s="41">
        <f t="shared" si="78"/>
        <v>-0.15526140295250312</v>
      </c>
      <c r="K97" s="41">
        <f t="shared" si="78"/>
        <v>6.1068549045903302E-2</v>
      </c>
      <c r="L97" s="41">
        <f t="shared" si="78"/>
        <v>5.7229901494255449E-2</v>
      </c>
      <c r="M97" s="43">
        <f t="shared" si="78"/>
        <v>-1.8082482358451443E-2</v>
      </c>
      <c r="N97" s="41">
        <f t="shared" si="78"/>
        <v>-0.11490369625301447</v>
      </c>
      <c r="O97" s="41">
        <f t="shared" si="78"/>
        <v>-2.6372684212548739E-2</v>
      </c>
      <c r="P97" s="41">
        <f t="shared" si="78"/>
        <v>4.1408852927177532E-2</v>
      </c>
      <c r="Q97" s="41">
        <f t="shared" si="78"/>
        <v>4.0438097111967053E-2</v>
      </c>
      <c r="R97" s="43">
        <f t="shared" si="78"/>
        <v>-6.1494407917060479E-3</v>
      </c>
      <c r="S97" s="41">
        <f t="shared" si="78"/>
        <v>2.1845929284461846E-2</v>
      </c>
      <c r="T97" s="41">
        <f t="shared" si="78"/>
        <v>4.471531759324715E-2</v>
      </c>
      <c r="U97" s="41">
        <f t="shared" si="78"/>
        <v>5.4570759772472423E-2</v>
      </c>
      <c r="V97" s="41">
        <f t="shared" si="78"/>
        <v>5.3842675960066075E-2</v>
      </c>
      <c r="W97" s="43">
        <f t="shared" si="78"/>
        <v>4.5066630897013023E-2</v>
      </c>
    </row>
    <row r="98" spans="1:23" s="34" customFormat="1" outlineLevel="1" x14ac:dyDescent="0.25">
      <c r="A98" s="161"/>
      <c r="B98" s="56" t="s">
        <v>123</v>
      </c>
      <c r="C98" s="57"/>
      <c r="D98" s="41"/>
      <c r="E98" s="41"/>
      <c r="F98" s="41"/>
      <c r="G98" s="41"/>
      <c r="H98" s="43"/>
      <c r="I98" s="41"/>
      <c r="J98" s="41"/>
      <c r="K98" s="41"/>
      <c r="L98" s="41"/>
      <c r="M98" s="43">
        <f>M20/H20-1</f>
        <v>0.14930862640297615</v>
      </c>
      <c r="N98" s="41"/>
      <c r="O98" s="41"/>
      <c r="P98" s="41"/>
      <c r="Q98" s="41"/>
      <c r="R98" s="251">
        <f>R20/M20-1</f>
        <v>-8.3898840321420809E-2</v>
      </c>
      <c r="S98" s="41"/>
      <c r="T98" s="41"/>
      <c r="U98" s="41"/>
      <c r="V98" s="41"/>
      <c r="W98" s="43">
        <f>W20/R20-1</f>
        <v>2.669320287363508E-2</v>
      </c>
    </row>
    <row r="99" spans="1:23" s="34" customFormat="1" outlineLevel="1" x14ac:dyDescent="0.25">
      <c r="A99" s="161"/>
      <c r="B99" s="56" t="s">
        <v>112</v>
      </c>
      <c r="C99" s="57"/>
      <c r="D99" s="41">
        <f t="shared" ref="D99:O99" si="79">D17/D13</f>
        <v>0.11943907694704166</v>
      </c>
      <c r="E99" s="41">
        <f t="shared" si="79"/>
        <v>0.13255653137756282</v>
      </c>
      <c r="F99" s="41">
        <f t="shared" si="79"/>
        <v>0.11110824461624799</v>
      </c>
      <c r="G99" s="41">
        <f t="shared" si="79"/>
        <v>0.1078498009122788</v>
      </c>
      <c r="H99" s="43">
        <f t="shared" si="79"/>
        <v>0.11719552527304983</v>
      </c>
      <c r="I99" s="41">
        <f t="shared" si="79"/>
        <v>0.10769223096670892</v>
      </c>
      <c r="J99" s="41">
        <f t="shared" si="79"/>
        <v>9.6478439150563769E-2</v>
      </c>
      <c r="K99" s="41">
        <f t="shared" si="79"/>
        <v>5.141072206503329E-2</v>
      </c>
      <c r="L99" s="41">
        <f t="shared" si="79"/>
        <v>4.9308505698896166E-2</v>
      </c>
      <c r="M99" s="43">
        <f t="shared" si="79"/>
        <v>6.8046771514152837E-2</v>
      </c>
      <c r="N99" s="41">
        <f t="shared" si="79"/>
        <v>7.4904039754581334E-2</v>
      </c>
      <c r="O99" s="41">
        <f t="shared" si="79"/>
        <v>5.1010161778333257E-2</v>
      </c>
      <c r="P99" s="41">
        <f t="shared" ref="P99" si="80">P17/P13</f>
        <v>5.2990639378073932E-2</v>
      </c>
      <c r="Q99" s="48">
        <f>P99-0.5%</f>
        <v>4.7990639378073935E-2</v>
      </c>
      <c r="R99" s="43">
        <f>R17/R13</f>
        <v>5.5160218565825751E-2</v>
      </c>
      <c r="S99" s="48">
        <f>AVERAGE(P99:Q99)</f>
        <v>5.0490639378073937E-2</v>
      </c>
      <c r="T99" s="48">
        <f>S99-0.25%</f>
        <v>4.7990639378073935E-2</v>
      </c>
      <c r="U99" s="48">
        <f>AVERAGE(S99:T99)</f>
        <v>4.9240639378073936E-2</v>
      </c>
      <c r="V99" s="48">
        <f>AVERAGE(T99:U99)</f>
        <v>4.8615639378073935E-2</v>
      </c>
      <c r="W99" s="43">
        <f>W17/W13</f>
        <v>4.9038159700490552E-2</v>
      </c>
    </row>
    <row r="100" spans="1:23" s="34" customFormat="1" outlineLevel="1" x14ac:dyDescent="0.25">
      <c r="A100" s="161"/>
      <c r="B100" s="56" t="s">
        <v>113</v>
      </c>
      <c r="C100" s="57"/>
      <c r="D100" s="41">
        <f t="shared" ref="D100:O100" si="81">D18/D13</f>
        <v>0.22381104266264137</v>
      </c>
      <c r="E100" s="41">
        <f t="shared" si="81"/>
        <v>0.19277505353000493</v>
      </c>
      <c r="F100" s="41">
        <f t="shared" si="81"/>
        <v>0.2187836196570816</v>
      </c>
      <c r="G100" s="41">
        <f t="shared" si="81"/>
        <v>0.20749341062674986</v>
      </c>
      <c r="H100" s="43">
        <f t="shared" si="81"/>
        <v>0.21060910295659799</v>
      </c>
      <c r="I100" s="41">
        <f t="shared" si="81"/>
        <v>0.20136525079127221</v>
      </c>
      <c r="J100" s="41">
        <f t="shared" si="81"/>
        <v>0.18758512439686764</v>
      </c>
      <c r="K100" s="41">
        <f t="shared" si="81"/>
        <v>0.10695073700844307</v>
      </c>
      <c r="L100" s="41">
        <f t="shared" si="81"/>
        <v>9.2369738576916563E-2</v>
      </c>
      <c r="M100" s="43">
        <f t="shared" si="81"/>
        <v>0.13207472177319624</v>
      </c>
      <c r="N100" s="41">
        <f t="shared" si="81"/>
        <v>0.1550004580020892</v>
      </c>
      <c r="O100" s="41">
        <f t="shared" si="81"/>
        <v>0.10193606728910261</v>
      </c>
      <c r="P100" s="41">
        <f t="shared" ref="P100" si="82">P18/P13</f>
        <v>9.4558146914167862E-2</v>
      </c>
      <c r="Q100" s="48">
        <f>P100-0.5%</f>
        <v>8.9558146914167858E-2</v>
      </c>
      <c r="R100" s="43">
        <f>R18/R13</f>
        <v>0.10644672176642525</v>
      </c>
      <c r="S100" s="48">
        <f>Q100+0.5%</f>
        <v>9.4558146914167862E-2</v>
      </c>
      <c r="T100" s="48">
        <f>S100-0.5%</f>
        <v>8.9558146914167858E-2</v>
      </c>
      <c r="U100" s="48">
        <f>T100-0.5%</f>
        <v>8.4558146914167853E-2</v>
      </c>
      <c r="V100" s="48">
        <f>U100-0.25%</f>
        <v>8.2058146914167851E-2</v>
      </c>
      <c r="W100" s="43">
        <f>W18/W13</f>
        <v>8.7122856371238871E-2</v>
      </c>
    </row>
    <row r="101" spans="1:23" s="34" customFormat="1" outlineLevel="1" x14ac:dyDescent="0.25">
      <c r="A101" s="161"/>
      <c r="B101" s="255" t="s">
        <v>2</v>
      </c>
      <c r="C101" s="256"/>
      <c r="D101" s="41">
        <f t="shared" ref="D101:O101" si="83">D26/D25</f>
        <v>-6.7969336090324586E-2</v>
      </c>
      <c r="E101" s="41">
        <f t="shared" si="83"/>
        <v>-4.0559386178651027E-2</v>
      </c>
      <c r="F101" s="41">
        <f t="shared" si="83"/>
        <v>4.2445580298102023E-4</v>
      </c>
      <c r="G101" s="41">
        <f t="shared" si="83"/>
        <v>1.1660454339717508E-2</v>
      </c>
      <c r="H101" s="43">
        <f t="shared" si="83"/>
        <v>-1.4280463116876549E-2</v>
      </c>
      <c r="I101" s="41">
        <f t="shared" si="83"/>
        <v>-7.1949187571082752E-3</v>
      </c>
      <c r="J101" s="41">
        <f t="shared" si="83"/>
        <v>-1.8802494927976594E-2</v>
      </c>
      <c r="K101" s="41">
        <f t="shared" si="83"/>
        <v>6.1355594869526742E-2</v>
      </c>
      <c r="L101" s="41">
        <f t="shared" si="83"/>
        <v>9.4319612340271433E-2</v>
      </c>
      <c r="M101" s="43">
        <f t="shared" si="83"/>
        <v>-5.7563859486735536E-2</v>
      </c>
      <c r="N101" s="41">
        <f t="shared" si="83"/>
        <v>-3.547455534669619E-2</v>
      </c>
      <c r="O101" s="41">
        <f t="shared" si="83"/>
        <v>-5.2540214314105681E-2</v>
      </c>
      <c r="P101" s="41">
        <f t="shared" ref="P101" si="84">P26/P25</f>
        <v>0.14772727272727273</v>
      </c>
      <c r="Q101" s="48">
        <f>P101</f>
        <v>0.14772727272727273</v>
      </c>
      <c r="R101" s="43">
        <f>R26/R25</f>
        <v>-0.12541338750483552</v>
      </c>
      <c r="S101" s="48">
        <f>Q101+0.25%</f>
        <v>0.15022727272727274</v>
      </c>
      <c r="T101" s="48">
        <f>S101+0.25%</f>
        <v>0.15272727272727274</v>
      </c>
      <c r="U101" s="48">
        <f t="shared" ref="U101:V101" si="85">T101+0.25%</f>
        <v>0.15522727272727274</v>
      </c>
      <c r="V101" s="48">
        <f t="shared" si="85"/>
        <v>0.15772727272727274</v>
      </c>
      <c r="W101" s="43">
        <f>W26/W25</f>
        <v>0.15576547504103019</v>
      </c>
    </row>
    <row r="102" spans="1:23" ht="18" x14ac:dyDescent="0.4">
      <c r="A102" s="138"/>
      <c r="B102" s="257" t="s">
        <v>20</v>
      </c>
      <c r="C102" s="258"/>
      <c r="D102" s="24" t="s">
        <v>66</v>
      </c>
      <c r="E102" s="24" t="s">
        <v>67</v>
      </c>
      <c r="F102" s="24" t="s">
        <v>68</v>
      </c>
      <c r="G102" s="24" t="s">
        <v>69</v>
      </c>
      <c r="H102" s="64" t="s">
        <v>64</v>
      </c>
      <c r="I102" s="24" t="s">
        <v>70</v>
      </c>
      <c r="J102" s="24" t="s">
        <v>71</v>
      </c>
      <c r="K102" s="24" t="s">
        <v>72</v>
      </c>
      <c r="L102" s="24" t="s">
        <v>73</v>
      </c>
      <c r="M102" s="64" t="s">
        <v>65</v>
      </c>
      <c r="N102" s="24" t="s">
        <v>130</v>
      </c>
      <c r="O102" s="24" t="s">
        <v>131</v>
      </c>
      <c r="P102" s="24" t="s">
        <v>197</v>
      </c>
      <c r="Q102" s="22" t="s">
        <v>74</v>
      </c>
      <c r="R102" s="66" t="s">
        <v>62</v>
      </c>
      <c r="S102" s="22" t="s">
        <v>75</v>
      </c>
      <c r="T102" s="22" t="s">
        <v>76</v>
      </c>
      <c r="U102" s="22" t="s">
        <v>77</v>
      </c>
      <c r="V102" s="22" t="s">
        <v>78</v>
      </c>
      <c r="W102" s="66" t="s">
        <v>63</v>
      </c>
    </row>
    <row r="103" spans="1:23" outlineLevel="1" x14ac:dyDescent="0.25">
      <c r="A103" s="138"/>
      <c r="B103" s="255" t="s">
        <v>9</v>
      </c>
      <c r="C103" s="256"/>
      <c r="D103" s="41"/>
      <c r="E103" s="41">
        <f>(E33+E107)/D33-1</f>
        <v>1.9015722048492334E-2</v>
      </c>
      <c r="F103" s="41">
        <f>(F33+F107)/E33-1</f>
        <v>1.260199017020569E-2</v>
      </c>
      <c r="G103" s="41">
        <f>(G33+G107)/F33-1</f>
        <v>6.0970507011606223E-3</v>
      </c>
      <c r="H103" s="42"/>
      <c r="I103" s="41">
        <f>(I33+I107)/G33-1</f>
        <v>4.9431419846239777E-3</v>
      </c>
      <c r="J103" s="41">
        <f>(J33+J107)/I33-1</f>
        <v>5.0311565156730964E-3</v>
      </c>
      <c r="K103" s="41">
        <f>(K33+K107)/J33-1</f>
        <v>5.2706812473160003E-3</v>
      </c>
      <c r="L103" s="41">
        <f>(L33+L107)/K33-1</f>
        <v>6.6298795152524015E-3</v>
      </c>
      <c r="M103" s="20"/>
      <c r="N103" s="41">
        <f>(N33+N107)/L33-1</f>
        <v>5.5979910013601586E-3</v>
      </c>
      <c r="O103" s="41">
        <f>(O33+O107)/N33-1</f>
        <v>2.1186318205203669E-2</v>
      </c>
      <c r="P103" s="41">
        <f>(P33+P107)/O33-1</f>
        <v>1.3280197448118924E-2</v>
      </c>
      <c r="Q103" s="48">
        <f>AVERAGE(N103:P103)</f>
        <v>1.3354835551560917E-2</v>
      </c>
      <c r="R103" s="20"/>
      <c r="S103" s="48">
        <f>AVERAGE(O103,P103,Q103)</f>
        <v>1.5940450401627837E-2</v>
      </c>
      <c r="T103" s="48">
        <f>AVERAGE(P103,Q103,S103)</f>
        <v>1.4191827800435894E-2</v>
      </c>
      <c r="U103" s="48">
        <f>AVERAGE(Q103,S103,T103)</f>
        <v>1.449570458454155E-2</v>
      </c>
      <c r="V103" s="48">
        <f>AVERAGE(,S103,T103,U103)</f>
        <v>1.1156995696651321E-2</v>
      </c>
      <c r="W103" s="20"/>
    </row>
    <row r="104" spans="1:23" outlineLevel="1" x14ac:dyDescent="0.25">
      <c r="A104" s="138"/>
      <c r="B104" s="255" t="s">
        <v>10</v>
      </c>
      <c r="C104" s="256"/>
      <c r="D104" s="41"/>
      <c r="E104" s="41">
        <f>(E34+E107)/D34-1</f>
        <v>1.9015722048492334E-2</v>
      </c>
      <c r="F104" s="41">
        <f>(F34+F107)/E34-1</f>
        <v>1.260199017020569E-2</v>
      </c>
      <c r="G104" s="41">
        <f>(G34+G107)/F34-1</f>
        <v>6.0970507011606223E-3</v>
      </c>
      <c r="H104" s="42"/>
      <c r="I104" s="41">
        <f>(I34+I107)/G34-1</f>
        <v>4.9431419846239777E-3</v>
      </c>
      <c r="J104" s="41">
        <f>(J34+J107)/I34-1</f>
        <v>5.0311565156730964E-3</v>
      </c>
      <c r="K104" s="41">
        <f>(K34+K107)/J34-1</f>
        <v>4.8230262886991948E-2</v>
      </c>
      <c r="L104" s="41">
        <f>(L34+L107)/K34-1</f>
        <v>4.6577925430426603E-3</v>
      </c>
      <c r="M104" s="20"/>
      <c r="N104" s="41">
        <f>(N34+N107)/L34-1</f>
        <v>-3.3721358908761934E-2</v>
      </c>
      <c r="O104" s="41">
        <f>(O34+O107)/N34-1</f>
        <v>2.1186318205203669E-2</v>
      </c>
      <c r="P104" s="41">
        <f>(P34+P107)/O34-1</f>
        <v>4.1584113577954662E-2</v>
      </c>
      <c r="Q104" s="48">
        <f>AVERAGE(N104:P104)</f>
        <v>9.6830242914654665E-3</v>
      </c>
      <c r="R104" s="20"/>
      <c r="S104" s="48">
        <f>AVERAGE(O104,P104,Q104)</f>
        <v>2.4151152024874598E-2</v>
      </c>
      <c r="T104" s="48">
        <f>AVERAGE(P104,Q104,S104)</f>
        <v>2.5139429964764908E-2</v>
      </c>
      <c r="U104" s="48">
        <f>AVERAGE(Q104,S104,T104)</f>
        <v>1.9657868760368322E-2</v>
      </c>
      <c r="V104" s="48">
        <f>AVERAGE(S104,T104,U104)</f>
        <v>2.2982816916669275E-2</v>
      </c>
      <c r="W104" s="20"/>
    </row>
    <row r="105" spans="1:23" outlineLevel="1" x14ac:dyDescent="0.25">
      <c r="A105" s="138"/>
      <c r="B105" s="255" t="s">
        <v>4</v>
      </c>
      <c r="C105" s="256"/>
      <c r="D105" s="49"/>
      <c r="E105" s="49"/>
      <c r="F105" s="49"/>
      <c r="G105" s="49"/>
      <c r="H105" s="52"/>
      <c r="I105" s="49"/>
      <c r="J105" s="49"/>
      <c r="K105" s="49"/>
      <c r="L105" s="49"/>
      <c r="M105" s="52"/>
      <c r="N105" s="173"/>
      <c r="O105" s="173"/>
      <c r="P105" s="173"/>
      <c r="Q105" s="51"/>
      <c r="R105" s="50"/>
      <c r="S105" s="51"/>
      <c r="T105" s="51"/>
      <c r="U105" s="51"/>
      <c r="V105" s="51"/>
      <c r="W105" s="50"/>
    </row>
    <row r="106" spans="1:23" outlineLevel="1" x14ac:dyDescent="0.25">
      <c r="A106" s="138"/>
      <c r="B106" s="255" t="s">
        <v>5</v>
      </c>
      <c r="C106" s="256"/>
      <c r="D106" s="26"/>
      <c r="E106" s="26"/>
      <c r="F106" s="26"/>
      <c r="G106" s="26"/>
      <c r="H106" s="27"/>
      <c r="I106" s="26"/>
      <c r="J106" s="26"/>
      <c r="K106" s="26"/>
      <c r="L106" s="26"/>
      <c r="M106" s="27"/>
      <c r="N106" s="141"/>
      <c r="O106" s="141"/>
      <c r="P106" s="141"/>
      <c r="Q106" s="47"/>
      <c r="R106" s="27"/>
      <c r="S106" s="47"/>
      <c r="T106" s="47"/>
      <c r="U106" s="47"/>
      <c r="V106" s="47"/>
      <c r="W106" s="27"/>
    </row>
    <row r="107" spans="1:23" outlineLevel="1" x14ac:dyDescent="0.25">
      <c r="A107" s="138"/>
      <c r="B107" s="253" t="s">
        <v>14</v>
      </c>
      <c r="C107" s="254"/>
      <c r="D107" s="53"/>
      <c r="E107" s="53"/>
      <c r="F107" s="53"/>
      <c r="G107" s="53"/>
      <c r="H107" s="79"/>
      <c r="I107" s="53"/>
      <c r="J107" s="53"/>
      <c r="K107" s="53"/>
      <c r="L107" s="53"/>
      <c r="M107" s="79"/>
      <c r="N107" s="53"/>
      <c r="O107" s="53"/>
      <c r="P107" s="53"/>
      <c r="Q107" s="53"/>
      <c r="R107" s="79"/>
      <c r="S107" s="53"/>
      <c r="T107" s="53"/>
      <c r="U107" s="53"/>
      <c r="V107" s="53"/>
      <c r="W107" s="79"/>
    </row>
    <row r="108" spans="1:23" x14ac:dyDescent="0.25">
      <c r="A108" s="138"/>
      <c r="B108" s="18"/>
      <c r="C108" s="18"/>
      <c r="E108" s="16"/>
      <c r="F108" s="16"/>
      <c r="G108" s="16"/>
      <c r="H108" s="16"/>
      <c r="I108" s="67"/>
      <c r="J108" s="67"/>
      <c r="K108" s="67"/>
      <c r="L108" s="67"/>
      <c r="M108" s="14"/>
      <c r="N108" s="14"/>
      <c r="O108" s="67"/>
      <c r="P108" s="67"/>
      <c r="Q108" s="3"/>
      <c r="R108" s="67"/>
      <c r="U108" s="3"/>
      <c r="V108" s="3"/>
      <c r="W108" s="67"/>
    </row>
    <row r="110" spans="1:23" ht="15.75" x14ac:dyDescent="0.25">
      <c r="B110" s="284" t="s">
        <v>168</v>
      </c>
      <c r="C110" s="285"/>
    </row>
    <row r="111" spans="1:23" x14ac:dyDescent="0.25">
      <c r="B111" s="217" t="s">
        <v>179</v>
      </c>
      <c r="C111" s="218">
        <v>47.170349483343735</v>
      </c>
      <c r="O111" s="216"/>
    </row>
    <row r="112" spans="1:23" x14ac:dyDescent="0.25">
      <c r="B112" s="217" t="s">
        <v>180</v>
      </c>
      <c r="C112" s="218">
        <v>41.172831233995176</v>
      </c>
    </row>
    <row r="113" spans="2:3" x14ac:dyDescent="0.25">
      <c r="B113" s="217" t="s">
        <v>169</v>
      </c>
      <c r="C113" s="219">
        <v>42</v>
      </c>
    </row>
    <row r="114" spans="2:3" x14ac:dyDescent="0.25">
      <c r="B114" s="220" t="s">
        <v>181</v>
      </c>
      <c r="C114" s="221">
        <f>(C113*(W37))</f>
        <v>305.70061914050871</v>
      </c>
    </row>
    <row r="115" spans="2:3" x14ac:dyDescent="0.25">
      <c r="B115" s="286" t="s">
        <v>191</v>
      </c>
      <c r="C115" s="287"/>
    </row>
    <row r="116" spans="2:3" x14ac:dyDescent="0.25">
      <c r="B116" s="288" t="s">
        <v>171</v>
      </c>
      <c r="C116" s="289"/>
    </row>
    <row r="117" spans="2:3" x14ac:dyDescent="0.25">
      <c r="B117"/>
      <c r="C117" s="222"/>
    </row>
    <row r="118" spans="2:3" ht="15.75" x14ac:dyDescent="0.25">
      <c r="B118" s="290" t="s">
        <v>172</v>
      </c>
      <c r="C118" s="291"/>
    </row>
    <row r="119" spans="2:3" x14ac:dyDescent="0.25">
      <c r="B119" s="223" t="s">
        <v>173</v>
      </c>
      <c r="C119" s="224">
        <f>'Returns-PE'!E16</f>
        <v>1.6694038707385683E-2</v>
      </c>
    </row>
    <row r="120" spans="2:3" x14ac:dyDescent="0.25">
      <c r="B120" s="217" t="s">
        <v>174</v>
      </c>
      <c r="C120" s="225">
        <f>'Returns-PE'!E17</f>
        <v>0.1726313917019755</v>
      </c>
    </row>
    <row r="121" spans="2:3" x14ac:dyDescent="0.25">
      <c r="B121" s="217" t="s">
        <v>175</v>
      </c>
      <c r="C121" s="226">
        <f>C114</f>
        <v>305.70061914050871</v>
      </c>
    </row>
    <row r="122" spans="2:3" x14ac:dyDescent="0.25">
      <c r="B122" s="217" t="s">
        <v>176</v>
      </c>
      <c r="C122" s="226">
        <f>C121*(1+(C119+(2*C120)))</f>
        <v>416.35104376207534</v>
      </c>
    </row>
    <row r="123" spans="2:3" x14ac:dyDescent="0.25">
      <c r="B123" s="227" t="s">
        <v>177</v>
      </c>
      <c r="C123" s="228">
        <f>C121*(1+(C119-(2*C120)))</f>
        <v>205.25695045654896</v>
      </c>
    </row>
    <row r="124" spans="2:3" x14ac:dyDescent="0.25">
      <c r="B124" s="292" t="s">
        <v>195</v>
      </c>
      <c r="C124" s="293"/>
    </row>
    <row r="125" spans="2:3" x14ac:dyDescent="0.25">
      <c r="B125" s="292"/>
      <c r="C125" s="293"/>
    </row>
    <row r="126" spans="2:3" x14ac:dyDescent="0.25">
      <c r="B126" s="292"/>
      <c r="C126" s="293"/>
    </row>
    <row r="127" spans="2:3" x14ac:dyDescent="0.25">
      <c r="B127" s="292"/>
      <c r="C127" s="293"/>
    </row>
    <row r="128" spans="2:3" x14ac:dyDescent="0.25">
      <c r="B128" s="292"/>
      <c r="C128" s="293"/>
    </row>
    <row r="129" spans="2:3" x14ac:dyDescent="0.25">
      <c r="B129" s="292"/>
      <c r="C129" s="293"/>
    </row>
    <row r="130" spans="2:3" x14ac:dyDescent="0.25">
      <c r="B130" s="292"/>
      <c r="C130" s="293"/>
    </row>
    <row r="131" spans="2:3" x14ac:dyDescent="0.25">
      <c r="B131" s="292"/>
      <c r="C131" s="293"/>
    </row>
    <row r="132" spans="2:3" x14ac:dyDescent="0.25">
      <c r="B132" s="292"/>
      <c r="C132" s="293"/>
    </row>
    <row r="133" spans="2:3" x14ac:dyDescent="0.25">
      <c r="B133" s="292"/>
      <c r="C133" s="293"/>
    </row>
    <row r="134" spans="2:3" x14ac:dyDescent="0.25">
      <c r="B134" s="292"/>
      <c r="C134" s="293"/>
    </row>
    <row r="135" spans="2:3" x14ac:dyDescent="0.25">
      <c r="B135" s="292"/>
      <c r="C135" s="293"/>
    </row>
    <row r="136" spans="2:3" x14ac:dyDescent="0.25">
      <c r="B136" s="292"/>
      <c r="C136" s="293"/>
    </row>
    <row r="137" spans="2:3" x14ac:dyDescent="0.25">
      <c r="B137" s="292"/>
      <c r="C137" s="293"/>
    </row>
    <row r="138" spans="2:3" x14ac:dyDescent="0.25">
      <c r="B138" s="292"/>
      <c r="C138" s="293"/>
    </row>
    <row r="139" spans="2:3" x14ac:dyDescent="0.25">
      <c r="B139" s="294"/>
      <c r="C139" s="295"/>
    </row>
  </sheetData>
  <dataConsolidate/>
  <mergeCells count="43">
    <mergeCell ref="B110:C110"/>
    <mergeCell ref="B115:C115"/>
    <mergeCell ref="B116:C116"/>
    <mergeCell ref="B118:C118"/>
    <mergeCell ref="B124:C139"/>
    <mergeCell ref="A11:A12"/>
    <mergeCell ref="B104:C104"/>
    <mergeCell ref="B103:C103"/>
    <mergeCell ref="B101:C101"/>
    <mergeCell ref="B84:C84"/>
    <mergeCell ref="B14:C14"/>
    <mergeCell ref="B11:C11"/>
    <mergeCell ref="B27:C27"/>
    <mergeCell ref="B28:C28"/>
    <mergeCell ref="B70:C70"/>
    <mergeCell ref="B87:C87"/>
    <mergeCell ref="B96:C96"/>
    <mergeCell ref="B31:C31"/>
    <mergeCell ref="B30:C30"/>
    <mergeCell ref="B39:C39"/>
    <mergeCell ref="B41:C41"/>
    <mergeCell ref="B40:C40"/>
    <mergeCell ref="B2:C2"/>
    <mergeCell ref="B3:C3"/>
    <mergeCell ref="B79:C79"/>
    <mergeCell ref="B4:C4"/>
    <mergeCell ref="B5:C5"/>
    <mergeCell ref="B12:C12"/>
    <mergeCell ref="B36:C36"/>
    <mergeCell ref="B35:C35"/>
    <mergeCell ref="B34:C34"/>
    <mergeCell ref="B33:C33"/>
    <mergeCell ref="B29:C29"/>
    <mergeCell ref="B13:C13"/>
    <mergeCell ref="B26:C26"/>
    <mergeCell ref="B25:C25"/>
    <mergeCell ref="B107:C107"/>
    <mergeCell ref="B106:C106"/>
    <mergeCell ref="B94:C94"/>
    <mergeCell ref="B95:C95"/>
    <mergeCell ref="B102:C102"/>
    <mergeCell ref="B97:C97"/>
    <mergeCell ref="B105:C105"/>
  </mergeCells>
  <pageMargins left="0.7" right="0.7" top="0.75" bottom="0.75" header="0.3" footer="0.3"/>
  <pageSetup scale="11" orientation="landscape" r:id="rId1"/>
  <headerFooter>
    <oddFooter>&amp;CGutenberg Research LLC prohibits the redistribution of this document in whole or part without the written permission. 
© Gutenberg Research LLC 2019.</oddFooter>
  </headerFooter>
  <rowBreaks count="1" manualBreakCount="1">
    <brk id="107"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33"/>
  <sheetViews>
    <sheetView workbookViewId="0">
      <selection activeCell="I6" sqref="I6"/>
    </sheetView>
  </sheetViews>
  <sheetFormatPr defaultColWidth="8.85546875" defaultRowHeight="15" x14ac:dyDescent="0.25"/>
  <cols>
    <col min="1" max="2" width="15.42578125" customWidth="1"/>
    <col min="5" max="5" width="11.140625" bestFit="1" customWidth="1"/>
    <col min="8" max="8" width="21.42578125" customWidth="1"/>
    <col min="9" max="9" width="19.85546875" customWidth="1"/>
    <col min="10" max="10" width="14.42578125" customWidth="1"/>
    <col min="14" max="14" width="19.140625" customWidth="1"/>
  </cols>
  <sheetData>
    <row r="1" spans="1:10" x14ac:dyDescent="0.25">
      <c r="A1" s="296" t="s">
        <v>192</v>
      </c>
      <c r="B1" s="296"/>
      <c r="C1" s="296"/>
      <c r="H1" s="296" t="s">
        <v>193</v>
      </c>
      <c r="I1" s="296"/>
      <c r="J1" s="296"/>
    </row>
    <row r="2" spans="1:10" x14ac:dyDescent="0.25">
      <c r="A2" s="235" t="s">
        <v>186</v>
      </c>
      <c r="B2" s="235" t="s">
        <v>187</v>
      </c>
      <c r="C2" s="235" t="s">
        <v>188</v>
      </c>
    </row>
    <row r="3" spans="1:10" x14ac:dyDescent="0.25">
      <c r="A3" s="236">
        <v>43401</v>
      </c>
      <c r="B3" s="237">
        <v>288.5</v>
      </c>
      <c r="C3" s="237"/>
      <c r="E3" s="234"/>
      <c r="H3" s="242" t="s">
        <v>194</v>
      </c>
      <c r="I3" s="242" t="s">
        <v>182</v>
      </c>
      <c r="J3" s="243" t="s">
        <v>183</v>
      </c>
    </row>
    <row r="4" spans="1:10" x14ac:dyDescent="0.25">
      <c r="A4" s="236">
        <v>43427</v>
      </c>
      <c r="B4" s="237">
        <v>325.83</v>
      </c>
      <c r="C4" s="237">
        <f>B4/B3-1</f>
        <v>0.12939341421143835</v>
      </c>
      <c r="H4" s="244">
        <v>299.68</v>
      </c>
      <c r="I4" s="245">
        <f>'Earnings Model'!P37+'Earnings Model'!Q37+'Earnings Model'!S37+'Earnings Model'!T37</f>
        <v>6.3531435166877372</v>
      </c>
      <c r="J4" s="246">
        <f>H4/I4</f>
        <v>47.170349483343735</v>
      </c>
    </row>
    <row r="5" spans="1:10" x14ac:dyDescent="0.25">
      <c r="A5" s="236">
        <v>43458</v>
      </c>
      <c r="B5" s="237">
        <v>295.39</v>
      </c>
      <c r="C5" s="237">
        <f t="shared" ref="C5:C15" si="0">B5/B4-1</f>
        <v>-9.3422950618420653E-2</v>
      </c>
      <c r="H5" s="237"/>
      <c r="I5" s="247" t="s">
        <v>184</v>
      </c>
      <c r="J5" s="245" t="s">
        <v>185</v>
      </c>
    </row>
    <row r="6" spans="1:10" x14ac:dyDescent="0.25">
      <c r="A6" s="236">
        <v>43124</v>
      </c>
      <c r="B6" s="237">
        <v>291.51</v>
      </c>
      <c r="C6" s="237">
        <f t="shared" si="0"/>
        <v>-1.3135177223331906E-2</v>
      </c>
      <c r="H6" s="248"/>
      <c r="I6" s="249">
        <f>'Earnings Model'!W37</f>
        <v>7.2785861700121117</v>
      </c>
      <c r="J6" s="249">
        <f>H4/I6</f>
        <v>41.172831233995176</v>
      </c>
    </row>
    <row r="7" spans="1:10" x14ac:dyDescent="0.25">
      <c r="A7" s="236">
        <v>43518</v>
      </c>
      <c r="B7" s="237">
        <v>294.70999999999998</v>
      </c>
      <c r="C7" s="237">
        <f t="shared" si="0"/>
        <v>1.0977324963123092E-2</v>
      </c>
    </row>
    <row r="8" spans="1:10" x14ac:dyDescent="0.25">
      <c r="A8" s="236">
        <v>43546</v>
      </c>
      <c r="B8" s="237">
        <v>264.52999999999997</v>
      </c>
      <c r="C8" s="237">
        <f t="shared" si="0"/>
        <v>-0.10240575480981307</v>
      </c>
    </row>
    <row r="9" spans="1:10" x14ac:dyDescent="0.25">
      <c r="A9" s="236">
        <v>43584</v>
      </c>
      <c r="B9" s="237">
        <v>258.66000000000003</v>
      </c>
      <c r="C9" s="237">
        <f t="shared" si="0"/>
        <v>-2.2190299776962741E-2</v>
      </c>
    </row>
    <row r="10" spans="1:10" x14ac:dyDescent="0.25">
      <c r="A10" s="236">
        <v>43609</v>
      </c>
      <c r="B10" s="237">
        <v>190.63</v>
      </c>
      <c r="C10" s="237">
        <f t="shared" si="0"/>
        <v>-0.26300935591123487</v>
      </c>
    </row>
    <row r="11" spans="1:10" x14ac:dyDescent="0.25">
      <c r="A11" s="236">
        <v>43640</v>
      </c>
      <c r="B11" s="237">
        <v>223.64</v>
      </c>
      <c r="C11" s="237">
        <f t="shared" si="0"/>
        <v>0.17316267114305184</v>
      </c>
    </row>
    <row r="12" spans="1:10" x14ac:dyDescent="0.25">
      <c r="A12" s="236">
        <v>43670</v>
      </c>
      <c r="B12" s="237">
        <v>264.88</v>
      </c>
      <c r="C12" s="237">
        <f t="shared" si="0"/>
        <v>0.18440350563405472</v>
      </c>
    </row>
    <row r="13" spans="1:10" x14ac:dyDescent="0.25">
      <c r="A13" s="236">
        <v>43700</v>
      </c>
      <c r="B13" s="237">
        <v>211.4</v>
      </c>
      <c r="C13" s="237">
        <f t="shared" si="0"/>
        <v>-0.20190274841437628</v>
      </c>
    </row>
    <row r="14" spans="1:10" x14ac:dyDescent="0.25">
      <c r="A14" s="236">
        <v>43732</v>
      </c>
      <c r="B14" s="237">
        <v>223.21</v>
      </c>
      <c r="C14" s="237">
        <f t="shared" si="0"/>
        <v>5.5865657521286582E-2</v>
      </c>
    </row>
    <row r="15" spans="1:10" ht="15.75" thickBot="1" x14ac:dyDescent="0.3">
      <c r="A15" s="238">
        <v>43762</v>
      </c>
      <c r="B15" s="239">
        <v>299.68</v>
      </c>
      <c r="C15" s="239">
        <f t="shared" si="0"/>
        <v>0.3425921777698131</v>
      </c>
    </row>
    <row r="16" spans="1:10" x14ac:dyDescent="0.25">
      <c r="D16" s="75" t="s">
        <v>189</v>
      </c>
      <c r="E16" s="240">
        <f>AVERAGE(C4:C15)</f>
        <v>1.6694038707385683E-2</v>
      </c>
    </row>
    <row r="17" spans="4:15" x14ac:dyDescent="0.25">
      <c r="D17" s="75" t="s">
        <v>190</v>
      </c>
      <c r="E17" s="241">
        <f>_xlfn.STDEV.S(C4:C15)</f>
        <v>0.1726313917019755</v>
      </c>
    </row>
    <row r="20" spans="4:15" x14ac:dyDescent="0.25">
      <c r="N20" s="235"/>
      <c r="O20" s="235"/>
    </row>
    <row r="21" spans="4:15" x14ac:dyDescent="0.25">
      <c r="N21" s="236"/>
      <c r="O21" s="237"/>
    </row>
    <row r="22" spans="4:15" x14ac:dyDescent="0.25">
      <c r="N22" s="236"/>
      <c r="O22" s="237"/>
    </row>
    <row r="23" spans="4:15" x14ac:dyDescent="0.25">
      <c r="N23" s="236"/>
      <c r="O23" s="237"/>
    </row>
    <row r="24" spans="4:15" x14ac:dyDescent="0.25">
      <c r="N24" s="236"/>
      <c r="O24" s="237"/>
    </row>
    <row r="25" spans="4:15" x14ac:dyDescent="0.25">
      <c r="N25" s="236"/>
      <c r="O25" s="237"/>
    </row>
    <row r="26" spans="4:15" x14ac:dyDescent="0.25">
      <c r="N26" s="236"/>
      <c r="O26" s="237"/>
    </row>
    <row r="27" spans="4:15" x14ac:dyDescent="0.25">
      <c r="N27" s="236"/>
      <c r="O27" s="237"/>
    </row>
    <row r="28" spans="4:15" x14ac:dyDescent="0.25">
      <c r="N28" s="236"/>
      <c r="O28" s="237"/>
    </row>
    <row r="29" spans="4:15" x14ac:dyDescent="0.25">
      <c r="N29" s="236"/>
      <c r="O29" s="237"/>
    </row>
    <row r="30" spans="4:15" x14ac:dyDescent="0.25">
      <c r="N30" s="236"/>
      <c r="O30" s="237"/>
    </row>
    <row r="31" spans="4:15" x14ac:dyDescent="0.25">
      <c r="N31" s="236"/>
      <c r="O31" s="237"/>
    </row>
    <row r="32" spans="4:15" x14ac:dyDescent="0.25">
      <c r="N32" s="236"/>
      <c r="O32" s="237"/>
    </row>
    <row r="33" spans="14:15" ht="15.75" thickBot="1" x14ac:dyDescent="0.3">
      <c r="N33" s="238"/>
      <c r="O33" s="239"/>
    </row>
  </sheetData>
  <autoFilter ref="A2:B15" xr:uid="{00000000-0009-0000-0000-000002000000}">
    <sortState ref="A3:B15">
      <sortCondition ref="A2:A15"/>
    </sortState>
  </autoFilter>
  <mergeCells count="2">
    <mergeCell ref="A1:C1"/>
    <mergeCell ref="H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N41"/>
  <sheetViews>
    <sheetView showGridLines="0" zoomScaleNormal="100" workbookViewId="0">
      <selection activeCell="F14" sqref="F14"/>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75" t="s">
        <v>149</v>
      </c>
    </row>
    <row r="2" spans="2:14" x14ac:dyDescent="0.25">
      <c r="B2" s="75"/>
    </row>
    <row r="3" spans="2:14" x14ac:dyDescent="0.25">
      <c r="B3" s="75"/>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97"/>
      <c r="I7" s="297"/>
      <c r="J7" s="297"/>
      <c r="K7" s="297"/>
      <c r="L7" s="297"/>
      <c r="M7" s="297"/>
      <c r="N7" s="297"/>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75"/>
      <c r="D14" s="1"/>
      <c r="E14" s="2"/>
      <c r="F14" s="2"/>
      <c r="G14" s="7"/>
    </row>
    <row r="15" spans="2:14" ht="21" customHeight="1" x14ac:dyDescent="0.25">
      <c r="E15" s="2"/>
      <c r="F15" s="2"/>
      <c r="G15" s="7"/>
    </row>
    <row r="16" spans="2:14" ht="21" customHeight="1" x14ac:dyDescent="0.25">
      <c r="E16" s="233"/>
      <c r="F16" s="233"/>
      <c r="G16" s="7"/>
    </row>
    <row r="27" spans="2:2" x14ac:dyDescent="0.25">
      <c r="B27" s="75"/>
    </row>
    <row r="41" spans="2:2" x14ac:dyDescent="0.25">
      <c r="B41" s="75"/>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Earnings Model</vt:lpstr>
      <vt:lpstr>Returns-PE</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2019-10-25T02:33:58Z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