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Gutenberg Research\Documents\AFTER FILES WERE TRANSFERED TO NEW M17\Final Submission\"/>
    </mc:Choice>
  </mc:AlternateContent>
  <xr:revisionPtr revIDLastSave="0" documentId="13_ncr:1_{9C3072C0-F8A5-46DE-B544-348E633CD8BE}" xr6:coauthVersionLast="45" xr6:coauthVersionMax="45" xr10:uidLastSave="{00000000-0000-0000-0000-000000000000}"/>
  <bookViews>
    <workbookView xWindow="-120" yWindow="-120" windowWidth="51840" windowHeight="21240" tabRatio="767" firstSheet="1" activeTab="1" xr2:uid="{00000000-000D-0000-FFFF-FFFF00000000}"/>
  </bookViews>
  <sheets>
    <sheet name="Instructions" sheetId="30" state="hidden" r:id="rId1"/>
    <sheet name="Earnings Model" sheetId="3" r:id="rId2"/>
    <sheet name="Recon of ASRs" sheetId="31" state="hidden" r:id="rId3"/>
    <sheet name="Charts" sheetId="21" state="hidden" r:id="rId4"/>
    <sheet name="Std Dev" sheetId="29" r:id="rId5"/>
  </sheets>
  <definedNames>
    <definedName name="DATA" localSheetId="3">#REF!</definedName>
    <definedName name="DATA">#REF!</definedName>
    <definedName name="_xlnm.Print_Area" localSheetId="1">'Earnings Model'!$B$2:$AB$334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3" l="1"/>
  <c r="I52" i="3"/>
  <c r="N52" i="3"/>
  <c r="L56" i="3"/>
  <c r="N56" i="3"/>
  <c r="N57" i="3"/>
  <c r="N84" i="3"/>
  <c r="I85" i="3"/>
  <c r="N85" i="3"/>
  <c r="L89" i="3"/>
  <c r="N89" i="3"/>
  <c r="N90" i="3"/>
  <c r="N14" i="3"/>
  <c r="O51" i="3"/>
  <c r="J52" i="3"/>
  <c r="O52" i="3"/>
  <c r="O56" i="3"/>
  <c r="O57" i="3"/>
  <c r="O84" i="3"/>
  <c r="J85" i="3"/>
  <c r="O85" i="3"/>
  <c r="O89" i="3"/>
  <c r="O90" i="3"/>
  <c r="O14" i="3"/>
  <c r="P51" i="3"/>
  <c r="K52" i="3"/>
  <c r="P52" i="3"/>
  <c r="P56" i="3"/>
  <c r="P57" i="3"/>
  <c r="P84" i="3"/>
  <c r="K85" i="3"/>
  <c r="P85" i="3"/>
  <c r="P89" i="3"/>
  <c r="P90" i="3"/>
  <c r="P14" i="3"/>
  <c r="L49" i="3"/>
  <c r="Q51" i="3"/>
  <c r="L52" i="3"/>
  <c r="Q52" i="3"/>
  <c r="Q56" i="3"/>
  <c r="Q57" i="3"/>
  <c r="L82" i="3"/>
  <c r="Q84" i="3"/>
  <c r="G85" i="3"/>
  <c r="L85" i="3"/>
  <c r="Q85" i="3"/>
  <c r="Q89" i="3"/>
  <c r="Q90" i="3"/>
  <c r="Q14" i="3"/>
  <c r="R14" i="3"/>
  <c r="L60" i="3"/>
  <c r="I61" i="3"/>
  <c r="J61" i="3"/>
  <c r="K61" i="3"/>
  <c r="N61" i="3"/>
  <c r="N60" i="3"/>
  <c r="N62" i="3"/>
  <c r="N64" i="3"/>
  <c r="L93" i="3"/>
  <c r="N93" i="3"/>
  <c r="N95" i="3"/>
  <c r="N97" i="3"/>
  <c r="N15" i="3"/>
  <c r="O61" i="3"/>
  <c r="O60" i="3"/>
  <c r="O62" i="3"/>
  <c r="O64" i="3"/>
  <c r="O93" i="3"/>
  <c r="O95" i="3"/>
  <c r="O97" i="3"/>
  <c r="O15" i="3"/>
  <c r="P61" i="3"/>
  <c r="P60" i="3"/>
  <c r="P62" i="3"/>
  <c r="P64" i="3"/>
  <c r="P93" i="3"/>
  <c r="P95" i="3"/>
  <c r="P97" i="3"/>
  <c r="P15" i="3"/>
  <c r="Q61" i="3"/>
  <c r="Q60" i="3"/>
  <c r="Q62" i="3"/>
  <c r="Q64" i="3"/>
  <c r="Q93" i="3"/>
  <c r="Q95" i="3"/>
  <c r="Q97" i="3"/>
  <c r="Q15" i="3"/>
  <c r="R15" i="3"/>
  <c r="N65" i="3"/>
  <c r="N98" i="3"/>
  <c r="N116" i="3"/>
  <c r="N130" i="3"/>
  <c r="N16" i="3"/>
  <c r="O65" i="3"/>
  <c r="O98" i="3"/>
  <c r="O116" i="3"/>
  <c r="O130" i="3"/>
  <c r="O16" i="3"/>
  <c r="P65" i="3"/>
  <c r="P98" i="3"/>
  <c r="P116" i="3"/>
  <c r="P130" i="3"/>
  <c r="P16" i="3"/>
  <c r="L65" i="3"/>
  <c r="Q65" i="3"/>
  <c r="L98" i="3"/>
  <c r="Q98" i="3"/>
  <c r="L116" i="3"/>
  <c r="Q116" i="3"/>
  <c r="L130" i="3"/>
  <c r="Q130" i="3"/>
  <c r="Q16" i="3"/>
  <c r="R16" i="3"/>
  <c r="R17" i="3"/>
  <c r="N69" i="3"/>
  <c r="N71" i="3"/>
  <c r="N102" i="3"/>
  <c r="L95" i="3"/>
  <c r="L97" i="3"/>
  <c r="L84" i="3"/>
  <c r="L90" i="3"/>
  <c r="L102" i="3"/>
  <c r="K109" i="3"/>
  <c r="K113" i="3"/>
  <c r="L104" i="3"/>
  <c r="L103" i="3"/>
  <c r="L105" i="3"/>
  <c r="E243" i="3"/>
  <c r="F243" i="3"/>
  <c r="G243" i="3"/>
  <c r="G237" i="3"/>
  <c r="I237" i="3"/>
  <c r="J243" i="3"/>
  <c r="J237" i="3"/>
  <c r="K243" i="3"/>
  <c r="K237" i="3"/>
  <c r="L237" i="3"/>
  <c r="L243" i="3"/>
  <c r="L106" i="3"/>
  <c r="L107" i="3"/>
  <c r="L108" i="3"/>
  <c r="L109" i="3"/>
  <c r="L113" i="3"/>
  <c r="N104" i="3"/>
  <c r="N19" i="3"/>
  <c r="O69" i="3"/>
  <c r="L62" i="3"/>
  <c r="L64" i="3"/>
  <c r="L51" i="3"/>
  <c r="L57" i="3"/>
  <c r="L69" i="3"/>
  <c r="K76" i="3"/>
  <c r="K79" i="3"/>
  <c r="L70" i="3"/>
  <c r="L71" i="3"/>
  <c r="L72" i="3"/>
  <c r="L73" i="3"/>
  <c r="L74" i="3"/>
  <c r="L75" i="3"/>
  <c r="L76" i="3"/>
  <c r="L79" i="3"/>
  <c r="N70" i="3"/>
  <c r="N72" i="3"/>
  <c r="L120" i="3"/>
  <c r="L134" i="3"/>
  <c r="L14" i="3"/>
  <c r="L15" i="3"/>
  <c r="L16" i="3"/>
  <c r="L17" i="3"/>
  <c r="L261" i="3"/>
  <c r="L193" i="3"/>
  <c r="M193" i="3"/>
  <c r="N237" i="3"/>
  <c r="N243" i="3"/>
  <c r="N73" i="3"/>
  <c r="N74" i="3"/>
  <c r="N75" i="3"/>
  <c r="N76" i="3"/>
  <c r="N79" i="3"/>
  <c r="O71" i="3"/>
  <c r="O102" i="3"/>
  <c r="N103" i="3"/>
  <c r="N105" i="3"/>
  <c r="N106" i="3"/>
  <c r="N107" i="3"/>
  <c r="N108" i="3"/>
  <c r="N109" i="3"/>
  <c r="N113" i="3"/>
  <c r="O104" i="3"/>
  <c r="O19" i="3"/>
  <c r="P69" i="3"/>
  <c r="O70" i="3"/>
  <c r="O72" i="3"/>
  <c r="N120" i="3"/>
  <c r="N134" i="3"/>
  <c r="N17" i="3"/>
  <c r="I17" i="3"/>
  <c r="I292" i="3"/>
  <c r="J261" i="3"/>
  <c r="J17" i="3"/>
  <c r="J292" i="3"/>
  <c r="K261" i="3"/>
  <c r="K17" i="3"/>
  <c r="K292" i="3"/>
  <c r="N292" i="3"/>
  <c r="N261" i="3"/>
  <c r="N193" i="3"/>
  <c r="O237" i="3"/>
  <c r="O243" i="3"/>
  <c r="O73" i="3"/>
  <c r="O74" i="3"/>
  <c r="O75" i="3"/>
  <c r="O76" i="3"/>
  <c r="O79" i="3"/>
  <c r="P71" i="3"/>
  <c r="P102" i="3"/>
  <c r="O103" i="3"/>
  <c r="O105" i="3"/>
  <c r="O106" i="3"/>
  <c r="O107" i="3"/>
  <c r="O108" i="3"/>
  <c r="O109" i="3"/>
  <c r="O113" i="3"/>
  <c r="P104" i="3"/>
  <c r="P19" i="3"/>
  <c r="Q69" i="3"/>
  <c r="P70" i="3"/>
  <c r="P72" i="3"/>
  <c r="O120" i="3"/>
  <c r="O134" i="3"/>
  <c r="O17" i="3"/>
  <c r="O292" i="3"/>
  <c r="O261" i="3"/>
  <c r="O193" i="3"/>
  <c r="P237" i="3"/>
  <c r="P243" i="3"/>
  <c r="P73" i="3"/>
  <c r="P74" i="3"/>
  <c r="P75" i="3"/>
  <c r="P76" i="3"/>
  <c r="P79" i="3"/>
  <c r="Q71" i="3"/>
  <c r="Q102" i="3"/>
  <c r="P103" i="3"/>
  <c r="P105" i="3"/>
  <c r="P106" i="3"/>
  <c r="P107" i="3"/>
  <c r="P108" i="3"/>
  <c r="P109" i="3"/>
  <c r="P113" i="3"/>
  <c r="Q104" i="3"/>
  <c r="Q19" i="3"/>
  <c r="R19" i="3"/>
  <c r="K123" i="3"/>
  <c r="K127" i="3"/>
  <c r="L119" i="3"/>
  <c r="L118" i="3"/>
  <c r="L121" i="3"/>
  <c r="L122" i="3"/>
  <c r="L123" i="3"/>
  <c r="L127" i="3"/>
  <c r="N119" i="3"/>
  <c r="G133" i="3"/>
  <c r="L133" i="3"/>
  <c r="N133" i="3"/>
  <c r="N20" i="3"/>
  <c r="N118" i="3"/>
  <c r="N121" i="3"/>
  <c r="N122" i="3"/>
  <c r="N123" i="3"/>
  <c r="N127" i="3"/>
  <c r="O119" i="3"/>
  <c r="O133" i="3"/>
  <c r="O20" i="3"/>
  <c r="O118" i="3"/>
  <c r="O121" i="3"/>
  <c r="O122" i="3"/>
  <c r="O123" i="3"/>
  <c r="O127" i="3"/>
  <c r="P119" i="3"/>
  <c r="P133" i="3"/>
  <c r="P20" i="3"/>
  <c r="Q72" i="3"/>
  <c r="Q105" i="3"/>
  <c r="P118" i="3"/>
  <c r="P120" i="3"/>
  <c r="P121" i="3"/>
  <c r="P122" i="3"/>
  <c r="P123" i="3"/>
  <c r="P127" i="3"/>
  <c r="Q119" i="3"/>
  <c r="Q133" i="3"/>
  <c r="Q20" i="3"/>
  <c r="R20" i="3"/>
  <c r="N21" i="3"/>
  <c r="O21" i="3"/>
  <c r="P134" i="3"/>
  <c r="P21" i="3"/>
  <c r="P17" i="3"/>
  <c r="P292" i="3"/>
  <c r="P261" i="3"/>
  <c r="P193" i="3"/>
  <c r="Q237" i="3"/>
  <c r="Q243" i="3"/>
  <c r="Q73" i="3"/>
  <c r="Q106" i="3"/>
  <c r="Q120" i="3"/>
  <c r="Q134" i="3"/>
  <c r="Q21" i="3"/>
  <c r="R21" i="3"/>
  <c r="L135" i="3"/>
  <c r="N135" i="3"/>
  <c r="N22" i="3"/>
  <c r="O135" i="3"/>
  <c r="O22" i="3"/>
  <c r="P135" i="3"/>
  <c r="P22" i="3"/>
  <c r="Q74" i="3"/>
  <c r="Q107" i="3"/>
  <c r="Q121" i="3"/>
  <c r="Q135" i="3"/>
  <c r="Q22" i="3"/>
  <c r="R22" i="3"/>
  <c r="L136" i="3"/>
  <c r="N136" i="3"/>
  <c r="N23" i="3"/>
  <c r="O136" i="3"/>
  <c r="O23" i="3"/>
  <c r="P136" i="3"/>
  <c r="P23" i="3"/>
  <c r="Q75" i="3"/>
  <c r="Q108" i="3"/>
  <c r="Q122" i="3"/>
  <c r="Q136" i="3"/>
  <c r="Q23" i="3"/>
  <c r="R23" i="3"/>
  <c r="L132" i="3"/>
  <c r="N132" i="3"/>
  <c r="N18" i="3"/>
  <c r="O132" i="3"/>
  <c r="O18" i="3"/>
  <c r="P132" i="3"/>
  <c r="P18" i="3"/>
  <c r="Q70" i="3"/>
  <c r="Q103" i="3"/>
  <c r="Q118" i="3"/>
  <c r="Q132" i="3"/>
  <c r="Q18" i="3"/>
  <c r="R18" i="3"/>
  <c r="R24" i="3"/>
  <c r="L110" i="3"/>
  <c r="N110" i="3"/>
  <c r="L124" i="3"/>
  <c r="N124" i="3"/>
  <c r="N25" i="3"/>
  <c r="O110" i="3"/>
  <c r="O124" i="3"/>
  <c r="O25" i="3"/>
  <c r="P110" i="3"/>
  <c r="P124" i="3"/>
  <c r="P25" i="3"/>
  <c r="Q110" i="3"/>
  <c r="Q124" i="3"/>
  <c r="Q25" i="3"/>
  <c r="R25" i="3"/>
  <c r="R26" i="3"/>
  <c r="N170" i="3"/>
  <c r="D170" i="3"/>
  <c r="D171" i="3"/>
  <c r="D172" i="3"/>
  <c r="D175" i="3"/>
  <c r="E175" i="3"/>
  <c r="F175" i="3"/>
  <c r="G170" i="3"/>
  <c r="G172" i="3"/>
  <c r="G175" i="3"/>
  <c r="I175" i="3"/>
  <c r="J175" i="3"/>
  <c r="K170" i="3"/>
  <c r="K175" i="3"/>
  <c r="L170" i="3"/>
  <c r="L172" i="3"/>
  <c r="L175" i="3"/>
  <c r="N174" i="3"/>
  <c r="N175" i="3"/>
  <c r="N177" i="3"/>
  <c r="N27" i="3"/>
  <c r="O170" i="3"/>
  <c r="O174" i="3"/>
  <c r="O175" i="3"/>
  <c r="O177" i="3"/>
  <c r="O27" i="3"/>
  <c r="P170" i="3"/>
  <c r="P174" i="3"/>
  <c r="P175" i="3"/>
  <c r="P177" i="3"/>
  <c r="P27" i="3"/>
  <c r="Q170" i="3"/>
  <c r="Q174" i="3"/>
  <c r="Q175" i="3"/>
  <c r="Q17" i="3"/>
  <c r="Q24" i="3"/>
  <c r="Q26" i="3"/>
  <c r="Q176" i="3"/>
  <c r="Q177" i="3"/>
  <c r="Q27" i="3"/>
  <c r="R27" i="3"/>
  <c r="R28" i="3"/>
  <c r="R29" i="3"/>
  <c r="E265" i="3"/>
  <c r="F265" i="3"/>
  <c r="G265" i="3"/>
  <c r="H265" i="3"/>
  <c r="F266" i="3"/>
  <c r="G266" i="3"/>
  <c r="H266" i="3"/>
  <c r="G267" i="3"/>
  <c r="H267" i="3"/>
  <c r="E268" i="3"/>
  <c r="F268" i="3"/>
  <c r="G268" i="3"/>
  <c r="H268" i="3"/>
  <c r="E269" i="3"/>
  <c r="F269" i="3"/>
  <c r="G269" i="3"/>
  <c r="H269" i="3"/>
  <c r="E270" i="3"/>
  <c r="F270" i="3"/>
  <c r="G270" i="3"/>
  <c r="H270" i="3"/>
  <c r="E271" i="3"/>
  <c r="F271" i="3"/>
  <c r="G271" i="3"/>
  <c r="H271" i="3"/>
  <c r="E272" i="3"/>
  <c r="F272" i="3"/>
  <c r="G272" i="3"/>
  <c r="H272" i="3"/>
  <c r="H273" i="3"/>
  <c r="D260" i="3"/>
  <c r="E260" i="3"/>
  <c r="F260" i="3"/>
  <c r="G260" i="3"/>
  <c r="H260" i="3"/>
  <c r="E261" i="3"/>
  <c r="F261" i="3"/>
  <c r="G261" i="3"/>
  <c r="H261" i="3"/>
  <c r="E262" i="3"/>
  <c r="F262" i="3"/>
  <c r="G262" i="3"/>
  <c r="H262" i="3"/>
  <c r="H263" i="3"/>
  <c r="H17" i="3"/>
  <c r="H24" i="3"/>
  <c r="H26" i="3"/>
  <c r="H32" i="3"/>
  <c r="H34" i="3"/>
  <c r="H242" i="3"/>
  <c r="H243" i="3"/>
  <c r="E244" i="3"/>
  <c r="F244" i="3"/>
  <c r="G244" i="3"/>
  <c r="H244" i="3"/>
  <c r="E245" i="3"/>
  <c r="F245" i="3"/>
  <c r="G245" i="3"/>
  <c r="H245" i="3"/>
  <c r="E246" i="3"/>
  <c r="F246" i="3"/>
  <c r="G246" i="3"/>
  <c r="H246" i="3"/>
  <c r="E247" i="3"/>
  <c r="F247" i="3"/>
  <c r="G247" i="3"/>
  <c r="H247" i="3"/>
  <c r="E248" i="3"/>
  <c r="F248" i="3"/>
  <c r="G248" i="3"/>
  <c r="H248" i="3"/>
  <c r="E249" i="3"/>
  <c r="F249" i="3"/>
  <c r="G249" i="3"/>
  <c r="H249" i="3"/>
  <c r="E251" i="3"/>
  <c r="F251" i="3"/>
  <c r="G251" i="3"/>
  <c r="H251" i="3"/>
  <c r="E252" i="3"/>
  <c r="F252" i="3"/>
  <c r="G252" i="3"/>
  <c r="H252" i="3"/>
  <c r="E253" i="3"/>
  <c r="F253" i="3"/>
  <c r="G253" i="3"/>
  <c r="H253" i="3"/>
  <c r="E254" i="3"/>
  <c r="F254" i="3"/>
  <c r="G254" i="3"/>
  <c r="H254" i="3"/>
  <c r="E255" i="3"/>
  <c r="F255" i="3"/>
  <c r="G255" i="3"/>
  <c r="H255" i="3"/>
  <c r="F256" i="3"/>
  <c r="G256" i="3"/>
  <c r="H256" i="3"/>
  <c r="E257" i="3"/>
  <c r="F257" i="3"/>
  <c r="G257" i="3"/>
  <c r="H257" i="3"/>
  <c r="H258" i="3"/>
  <c r="D274" i="3"/>
  <c r="E274" i="3"/>
  <c r="F274" i="3"/>
  <c r="G274" i="3"/>
  <c r="H274" i="3"/>
  <c r="H275" i="3"/>
  <c r="H277" i="3"/>
  <c r="I276" i="3"/>
  <c r="I267" i="3"/>
  <c r="I273" i="3"/>
  <c r="I260" i="3"/>
  <c r="I263" i="3"/>
  <c r="I24" i="3"/>
  <c r="I26" i="3"/>
  <c r="I32" i="3"/>
  <c r="I34" i="3"/>
  <c r="I242" i="3"/>
  <c r="I249" i="3"/>
  <c r="I257" i="3"/>
  <c r="I258" i="3"/>
  <c r="I275" i="3"/>
  <c r="I277" i="3"/>
  <c r="J276" i="3"/>
  <c r="J265" i="3"/>
  <c r="J266" i="3"/>
  <c r="J267" i="3"/>
  <c r="J268" i="3"/>
  <c r="J269" i="3"/>
  <c r="J270" i="3"/>
  <c r="J271" i="3"/>
  <c r="J272" i="3"/>
  <c r="J273" i="3"/>
  <c r="J260" i="3"/>
  <c r="J262" i="3"/>
  <c r="J263" i="3"/>
  <c r="J24" i="3"/>
  <c r="J26" i="3"/>
  <c r="J32" i="3"/>
  <c r="J34" i="3"/>
  <c r="J242" i="3"/>
  <c r="J244" i="3"/>
  <c r="J245" i="3"/>
  <c r="J246" i="3"/>
  <c r="J247" i="3"/>
  <c r="J248" i="3"/>
  <c r="J249" i="3"/>
  <c r="J251" i="3"/>
  <c r="J252" i="3"/>
  <c r="J253" i="3"/>
  <c r="J254" i="3"/>
  <c r="J255" i="3"/>
  <c r="J256" i="3"/>
  <c r="J257" i="3"/>
  <c r="J258" i="3"/>
  <c r="J274" i="3"/>
  <c r="J275" i="3"/>
  <c r="J277" i="3"/>
  <c r="K276" i="3"/>
  <c r="K265" i="3"/>
  <c r="K267" i="3"/>
  <c r="K268" i="3"/>
  <c r="K269" i="3"/>
  <c r="K270" i="3"/>
  <c r="K271" i="3"/>
  <c r="K272" i="3"/>
  <c r="K273" i="3"/>
  <c r="K260" i="3"/>
  <c r="K262" i="3"/>
  <c r="K263" i="3"/>
  <c r="K24" i="3"/>
  <c r="K26" i="3"/>
  <c r="K32" i="3"/>
  <c r="K34" i="3"/>
  <c r="K242" i="3"/>
  <c r="K244" i="3"/>
  <c r="K245" i="3"/>
  <c r="K246" i="3"/>
  <c r="K247" i="3"/>
  <c r="K248" i="3"/>
  <c r="K249" i="3"/>
  <c r="K251" i="3"/>
  <c r="K252" i="3"/>
  <c r="K253" i="3"/>
  <c r="K254" i="3"/>
  <c r="K255" i="3"/>
  <c r="K256" i="3"/>
  <c r="K257" i="3"/>
  <c r="K258" i="3"/>
  <c r="K274" i="3"/>
  <c r="K275" i="3"/>
  <c r="K277" i="3"/>
  <c r="L276" i="3"/>
  <c r="K207" i="3"/>
  <c r="L207" i="3"/>
  <c r="L210" i="3"/>
  <c r="L265" i="3"/>
  <c r="L44" i="3"/>
  <c r="G162" i="3"/>
  <c r="G158" i="3"/>
  <c r="I162" i="3"/>
  <c r="I158" i="3"/>
  <c r="J162" i="3"/>
  <c r="J158" i="3"/>
  <c r="K162" i="3"/>
  <c r="K158" i="3"/>
  <c r="L158" i="3"/>
  <c r="L162" i="3"/>
  <c r="L39" i="3"/>
  <c r="L269" i="3"/>
  <c r="L270" i="3"/>
  <c r="K289" i="3"/>
  <c r="J289" i="3"/>
  <c r="I289" i="3"/>
  <c r="G14" i="3"/>
  <c r="G15" i="3"/>
  <c r="G16" i="3"/>
  <c r="G17" i="3"/>
  <c r="G289" i="3"/>
  <c r="L289" i="3"/>
  <c r="L248" i="3"/>
  <c r="L271" i="3"/>
  <c r="L273" i="3"/>
  <c r="D273" i="3"/>
  <c r="D263" i="3"/>
  <c r="D17" i="3"/>
  <c r="D24" i="3"/>
  <c r="D26" i="3"/>
  <c r="D32" i="3"/>
  <c r="D34" i="3"/>
  <c r="D242" i="3"/>
  <c r="D258" i="3"/>
  <c r="D275" i="3"/>
  <c r="D277" i="3"/>
  <c r="E276" i="3"/>
  <c r="E273" i="3"/>
  <c r="E263" i="3"/>
  <c r="E17" i="3"/>
  <c r="E24" i="3"/>
  <c r="E26" i="3"/>
  <c r="E32" i="3"/>
  <c r="E34" i="3"/>
  <c r="E242" i="3"/>
  <c r="E258" i="3"/>
  <c r="E275" i="3"/>
  <c r="E277" i="3"/>
  <c r="F276" i="3"/>
  <c r="F273" i="3"/>
  <c r="F263" i="3"/>
  <c r="F17" i="3"/>
  <c r="F24" i="3"/>
  <c r="F26" i="3"/>
  <c r="F32" i="3"/>
  <c r="F34" i="3"/>
  <c r="F242" i="3"/>
  <c r="F258" i="3"/>
  <c r="F275" i="3"/>
  <c r="F277" i="3"/>
  <c r="G276" i="3"/>
  <c r="G273" i="3"/>
  <c r="G263" i="3"/>
  <c r="G19" i="3"/>
  <c r="G20" i="3"/>
  <c r="G21" i="3"/>
  <c r="G22" i="3"/>
  <c r="G23" i="3"/>
  <c r="G18" i="3"/>
  <c r="G24" i="3"/>
  <c r="G25" i="3"/>
  <c r="G26" i="3"/>
  <c r="G30" i="3"/>
  <c r="G31" i="3"/>
  <c r="G29" i="3"/>
  <c r="G32" i="3"/>
  <c r="G33" i="3"/>
  <c r="G34" i="3"/>
  <c r="G242" i="3"/>
  <c r="G258" i="3"/>
  <c r="G275" i="3"/>
  <c r="G277" i="3"/>
  <c r="G185" i="3"/>
  <c r="G190" i="3"/>
  <c r="G199" i="3"/>
  <c r="G232" i="3"/>
  <c r="I185" i="3"/>
  <c r="I190" i="3"/>
  <c r="I199" i="3"/>
  <c r="I232" i="3"/>
  <c r="J185" i="3"/>
  <c r="J190" i="3"/>
  <c r="J199" i="3"/>
  <c r="J232" i="3"/>
  <c r="K185" i="3"/>
  <c r="K190" i="3"/>
  <c r="K199" i="3"/>
  <c r="K232" i="3"/>
  <c r="L232" i="3"/>
  <c r="K216" i="3"/>
  <c r="L216" i="3"/>
  <c r="L19" i="3"/>
  <c r="L20" i="3"/>
  <c r="L21" i="3"/>
  <c r="L22" i="3"/>
  <c r="L23" i="3"/>
  <c r="L18" i="3"/>
  <c r="L24" i="3"/>
  <c r="L25" i="3"/>
  <c r="L26" i="3"/>
  <c r="K152" i="3"/>
  <c r="J152" i="3"/>
  <c r="I152" i="3"/>
  <c r="F185" i="3"/>
  <c r="G152" i="3"/>
  <c r="L152" i="3"/>
  <c r="L30" i="3"/>
  <c r="J207" i="3"/>
  <c r="K153" i="3"/>
  <c r="L153" i="3"/>
  <c r="L31" i="3"/>
  <c r="L32" i="3"/>
  <c r="L33" i="3"/>
  <c r="L34" i="3"/>
  <c r="L242" i="3"/>
  <c r="L217" i="3"/>
  <c r="L218" i="3"/>
  <c r="L219" i="3"/>
  <c r="L220" i="3"/>
  <c r="L201" i="3"/>
  <c r="L202" i="3"/>
  <c r="L203" i="3"/>
  <c r="L204" i="3"/>
  <c r="L205" i="3"/>
  <c r="L206" i="3"/>
  <c r="L209" i="3"/>
  <c r="L211" i="3"/>
  <c r="L212" i="3"/>
  <c r="L213" i="3"/>
  <c r="L214" i="3"/>
  <c r="L221" i="3"/>
  <c r="G233" i="3"/>
  <c r="I233" i="3"/>
  <c r="J233" i="3"/>
  <c r="K233" i="3"/>
  <c r="L233" i="3"/>
  <c r="L186" i="3"/>
  <c r="L191" i="3"/>
  <c r="L260" i="3"/>
  <c r="L192" i="3"/>
  <c r="K220" i="3"/>
  <c r="K209" i="3"/>
  <c r="K214" i="3"/>
  <c r="K221" i="3"/>
  <c r="L196" i="3"/>
  <c r="L194" i="3"/>
  <c r="L197" i="3"/>
  <c r="L198" i="3"/>
  <c r="L262" i="3"/>
  <c r="L263" i="3"/>
  <c r="G236" i="3"/>
  <c r="I236" i="3"/>
  <c r="J236" i="3"/>
  <c r="K236" i="3"/>
  <c r="L236" i="3"/>
  <c r="L195" i="3"/>
  <c r="L244" i="3"/>
  <c r="L245" i="3"/>
  <c r="L246" i="3"/>
  <c r="L247" i="3"/>
  <c r="L187" i="3"/>
  <c r="L251" i="3"/>
  <c r="L188" i="3"/>
  <c r="L252" i="3"/>
  <c r="L189" i="3"/>
  <c r="L253" i="3"/>
  <c r="L254" i="3"/>
  <c r="L255" i="3"/>
  <c r="L256" i="3"/>
  <c r="L257" i="3"/>
  <c r="L258" i="3"/>
  <c r="L275" i="3"/>
  <c r="L277" i="3"/>
  <c r="L185" i="3"/>
  <c r="N152" i="3"/>
  <c r="N30" i="3"/>
  <c r="M265" i="3"/>
  <c r="M266" i="3"/>
  <c r="M267" i="3"/>
  <c r="M268" i="3"/>
  <c r="M269" i="3"/>
  <c r="M270" i="3"/>
  <c r="M271" i="3"/>
  <c r="M272" i="3"/>
  <c r="M273" i="3"/>
  <c r="M260" i="3"/>
  <c r="M261" i="3"/>
  <c r="M262" i="3"/>
  <c r="M263" i="3"/>
  <c r="M14" i="3"/>
  <c r="M15" i="3"/>
  <c r="M16" i="3"/>
  <c r="M17" i="3"/>
  <c r="M19" i="3"/>
  <c r="M20" i="3"/>
  <c r="M21" i="3"/>
  <c r="M22" i="3"/>
  <c r="M23" i="3"/>
  <c r="M18" i="3"/>
  <c r="M24" i="3"/>
  <c r="M25" i="3"/>
  <c r="M26" i="3"/>
  <c r="M30" i="3"/>
  <c r="M31" i="3"/>
  <c r="M29" i="3"/>
  <c r="M32" i="3"/>
  <c r="M33" i="3"/>
  <c r="M34" i="3"/>
  <c r="M242" i="3"/>
  <c r="M243" i="3"/>
  <c r="M244" i="3"/>
  <c r="M245" i="3"/>
  <c r="M246" i="3"/>
  <c r="M247" i="3"/>
  <c r="M248" i="3"/>
  <c r="M249" i="3"/>
  <c r="M251" i="3"/>
  <c r="M252" i="3"/>
  <c r="M253" i="3"/>
  <c r="M254" i="3"/>
  <c r="M255" i="3"/>
  <c r="M256" i="3"/>
  <c r="M257" i="3"/>
  <c r="M258" i="3"/>
  <c r="M274" i="3"/>
  <c r="M275" i="3"/>
  <c r="M277" i="3"/>
  <c r="N276" i="3"/>
  <c r="N207" i="3"/>
  <c r="N210" i="3"/>
  <c r="N265" i="3"/>
  <c r="N44" i="3"/>
  <c r="N158" i="3"/>
  <c r="N162" i="3"/>
  <c r="N39" i="3"/>
  <c r="N269" i="3"/>
  <c r="N270" i="3"/>
  <c r="N289" i="3"/>
  <c r="N248" i="3"/>
  <c r="N271" i="3"/>
  <c r="N273" i="3"/>
  <c r="N232" i="3"/>
  <c r="N216" i="3"/>
  <c r="N24" i="3"/>
  <c r="N26" i="3"/>
  <c r="I207" i="3"/>
  <c r="J153" i="3"/>
  <c r="I153" i="3"/>
  <c r="N153" i="3"/>
  <c r="N31" i="3"/>
  <c r="N32" i="3"/>
  <c r="N33" i="3"/>
  <c r="N34" i="3"/>
  <c r="N242" i="3"/>
  <c r="N217" i="3"/>
  <c r="N218" i="3"/>
  <c r="N219" i="3"/>
  <c r="N220" i="3"/>
  <c r="N201" i="3"/>
  <c r="M202" i="3"/>
  <c r="N202" i="3"/>
  <c r="N203" i="3"/>
  <c r="N204" i="3"/>
  <c r="N205" i="3"/>
  <c r="N206" i="3"/>
  <c r="N209" i="3"/>
  <c r="N211" i="3"/>
  <c r="N212" i="3"/>
  <c r="N213" i="3"/>
  <c r="N214" i="3"/>
  <c r="N221" i="3"/>
  <c r="N233" i="3"/>
  <c r="N186" i="3"/>
  <c r="N191" i="3"/>
  <c r="N260" i="3"/>
  <c r="N192" i="3"/>
  <c r="N196" i="3"/>
  <c r="N194" i="3"/>
  <c r="N197" i="3"/>
  <c r="N198" i="3"/>
  <c r="N262" i="3"/>
  <c r="N263" i="3"/>
  <c r="N236" i="3"/>
  <c r="N195" i="3"/>
  <c r="N244" i="3"/>
  <c r="N245" i="3"/>
  <c r="N246" i="3"/>
  <c r="N247" i="3"/>
  <c r="N187" i="3"/>
  <c r="N251" i="3"/>
  <c r="N188" i="3"/>
  <c r="N252" i="3"/>
  <c r="N189" i="3"/>
  <c r="N253" i="3"/>
  <c r="N254" i="3"/>
  <c r="N255" i="3"/>
  <c r="N256" i="3"/>
  <c r="N257" i="3"/>
  <c r="N258" i="3"/>
  <c r="N275" i="3"/>
  <c r="N277" i="3"/>
  <c r="N185" i="3"/>
  <c r="O152" i="3"/>
  <c r="O30" i="3"/>
  <c r="O276" i="3"/>
  <c r="O207" i="3"/>
  <c r="O210" i="3"/>
  <c r="O265" i="3"/>
  <c r="O44" i="3"/>
  <c r="O158" i="3"/>
  <c r="O162" i="3"/>
  <c r="O39" i="3"/>
  <c r="O269" i="3"/>
  <c r="O270" i="3"/>
  <c r="O289" i="3"/>
  <c r="O248" i="3"/>
  <c r="O271" i="3"/>
  <c r="O273" i="3"/>
  <c r="O232" i="3"/>
  <c r="O216" i="3"/>
  <c r="O24" i="3"/>
  <c r="O26" i="3"/>
  <c r="O153" i="3"/>
  <c r="O31" i="3"/>
  <c r="O32" i="3"/>
  <c r="O33" i="3"/>
  <c r="O34" i="3"/>
  <c r="O242" i="3"/>
  <c r="O217" i="3"/>
  <c r="O218" i="3"/>
  <c r="O219" i="3"/>
  <c r="O220" i="3"/>
  <c r="O201" i="3"/>
  <c r="O202" i="3"/>
  <c r="O203" i="3"/>
  <c r="O204" i="3"/>
  <c r="O205" i="3"/>
  <c r="O206" i="3"/>
  <c r="O209" i="3"/>
  <c r="O211" i="3"/>
  <c r="O212" i="3"/>
  <c r="O213" i="3"/>
  <c r="O214" i="3"/>
  <c r="O221" i="3"/>
  <c r="O233" i="3"/>
  <c r="O186" i="3"/>
  <c r="O191" i="3"/>
  <c r="O260" i="3"/>
  <c r="O192" i="3"/>
  <c r="O196" i="3"/>
  <c r="O194" i="3"/>
  <c r="O197" i="3"/>
  <c r="O198" i="3"/>
  <c r="O262" i="3"/>
  <c r="O263" i="3"/>
  <c r="O236" i="3"/>
  <c r="O195" i="3"/>
  <c r="O244" i="3"/>
  <c r="O245" i="3"/>
  <c r="O246" i="3"/>
  <c r="O247" i="3"/>
  <c r="O187" i="3"/>
  <c r="O251" i="3"/>
  <c r="O188" i="3"/>
  <c r="O252" i="3"/>
  <c r="O189" i="3"/>
  <c r="O253" i="3"/>
  <c r="O254" i="3"/>
  <c r="O255" i="3"/>
  <c r="O256" i="3"/>
  <c r="O257" i="3"/>
  <c r="O258" i="3"/>
  <c r="O275" i="3"/>
  <c r="O277" i="3"/>
  <c r="O185" i="3"/>
  <c r="P152" i="3"/>
  <c r="P30" i="3"/>
  <c r="P276" i="3"/>
  <c r="P207" i="3"/>
  <c r="P210" i="3"/>
  <c r="P265" i="3"/>
  <c r="P44" i="3"/>
  <c r="P158" i="3"/>
  <c r="P160" i="3"/>
  <c r="P162" i="3"/>
  <c r="P39" i="3"/>
  <c r="P269" i="3"/>
  <c r="P270" i="3"/>
  <c r="P289" i="3"/>
  <c r="P248" i="3"/>
  <c r="P271" i="3"/>
  <c r="P273" i="3"/>
  <c r="P232" i="3"/>
  <c r="P216" i="3"/>
  <c r="P24" i="3"/>
  <c r="P26" i="3"/>
  <c r="P153" i="3"/>
  <c r="P31" i="3"/>
  <c r="P32" i="3"/>
  <c r="P33" i="3"/>
  <c r="P34" i="3"/>
  <c r="P242" i="3"/>
  <c r="P217" i="3"/>
  <c r="P218" i="3"/>
  <c r="P219" i="3"/>
  <c r="P220" i="3"/>
  <c r="P201" i="3"/>
  <c r="P202" i="3"/>
  <c r="P203" i="3"/>
  <c r="P204" i="3"/>
  <c r="P205" i="3"/>
  <c r="P206" i="3"/>
  <c r="P209" i="3"/>
  <c r="P211" i="3"/>
  <c r="P212" i="3"/>
  <c r="P213" i="3"/>
  <c r="P214" i="3"/>
  <c r="P221" i="3"/>
  <c r="P233" i="3"/>
  <c r="P186" i="3"/>
  <c r="P191" i="3"/>
  <c r="P260" i="3"/>
  <c r="P192" i="3"/>
  <c r="P196" i="3"/>
  <c r="P194" i="3"/>
  <c r="P197" i="3"/>
  <c r="P198" i="3"/>
  <c r="P262" i="3"/>
  <c r="P263" i="3"/>
  <c r="P236" i="3"/>
  <c r="P195" i="3"/>
  <c r="P244" i="3"/>
  <c r="P245" i="3"/>
  <c r="P246" i="3"/>
  <c r="P247" i="3"/>
  <c r="P187" i="3"/>
  <c r="P251" i="3"/>
  <c r="P188" i="3"/>
  <c r="P252" i="3"/>
  <c r="P189" i="3"/>
  <c r="P253" i="3"/>
  <c r="P254" i="3"/>
  <c r="P255" i="3"/>
  <c r="P256" i="3"/>
  <c r="P257" i="3"/>
  <c r="P258" i="3"/>
  <c r="P275" i="3"/>
  <c r="P277" i="3"/>
  <c r="P185" i="3"/>
  <c r="Q152" i="3"/>
  <c r="Q30" i="3"/>
  <c r="R30" i="3"/>
  <c r="Q153" i="3"/>
  <c r="Q31" i="3"/>
  <c r="R31" i="3"/>
  <c r="Q32" i="3"/>
  <c r="Q33" i="3"/>
  <c r="R33" i="3"/>
  <c r="G35" i="3"/>
  <c r="L35" i="3"/>
  <c r="N35" i="3"/>
  <c r="O35" i="3"/>
  <c r="P35" i="3"/>
  <c r="Q35" i="3"/>
  <c r="R35" i="3"/>
  <c r="N179" i="3"/>
  <c r="N37" i="3"/>
  <c r="O179" i="3"/>
  <c r="O37" i="3"/>
  <c r="P179" i="3"/>
  <c r="P37" i="3"/>
  <c r="Q179" i="3"/>
  <c r="Q37" i="3"/>
  <c r="R37" i="3"/>
  <c r="R38" i="3"/>
  <c r="N36" i="3"/>
  <c r="R32" i="3"/>
  <c r="R34" i="3"/>
  <c r="R36" i="3"/>
  <c r="G159" i="3"/>
  <c r="I159" i="3"/>
  <c r="J159" i="3"/>
  <c r="K159" i="3"/>
  <c r="L159" i="3"/>
  <c r="L40" i="3"/>
  <c r="N159" i="3"/>
  <c r="N40" i="3"/>
  <c r="O36" i="3"/>
  <c r="O159" i="3"/>
  <c r="O40" i="3"/>
  <c r="P36" i="3"/>
  <c r="P159" i="3"/>
  <c r="P40" i="3"/>
  <c r="Q34" i="3"/>
  <c r="Q36" i="3"/>
  <c r="Q159" i="3"/>
  <c r="Q160" i="3"/>
  <c r="Q162" i="3"/>
  <c r="Q40" i="3"/>
  <c r="R40" i="3"/>
  <c r="R43" i="3"/>
  <c r="C300" i="3"/>
  <c r="E5" i="29"/>
  <c r="E6" i="29"/>
  <c r="E7" i="29"/>
  <c r="E8" i="29"/>
  <c r="E9" i="29"/>
  <c r="E10" i="29"/>
  <c r="E11" i="29"/>
  <c r="E12" i="29"/>
  <c r="E13" i="29"/>
  <c r="E14" i="29"/>
  <c r="E15" i="29"/>
  <c r="E16" i="29"/>
  <c r="E17" i="29"/>
  <c r="C310" i="3"/>
  <c r="C312" i="3"/>
  <c r="C330" i="3"/>
  <c r="C305" i="3"/>
  <c r="C306" i="3"/>
  <c r="C313" i="3"/>
  <c r="C314" i="3"/>
  <c r="M151" i="3"/>
  <c r="C315" i="3"/>
  <c r="C316" i="3"/>
  <c r="C322" i="3"/>
  <c r="V52" i="3"/>
  <c r="AA52" i="3"/>
  <c r="V85" i="3"/>
  <c r="S89" i="3"/>
  <c r="T89" i="3"/>
  <c r="U89" i="3"/>
  <c r="V89" i="3"/>
  <c r="X89" i="3"/>
  <c r="Y89" i="3"/>
  <c r="Z89" i="3"/>
  <c r="AA89" i="3"/>
  <c r="AC89" i="3"/>
  <c r="AD89" i="3"/>
  <c r="AE89" i="3"/>
  <c r="AF89" i="3"/>
  <c r="AH89" i="3"/>
  <c r="AI89" i="3"/>
  <c r="AJ89" i="3"/>
  <c r="AK89" i="3"/>
  <c r="V65" i="3"/>
  <c r="AA65" i="3"/>
  <c r="V98" i="3"/>
  <c r="V116" i="3"/>
  <c r="G123" i="3"/>
  <c r="G127" i="3"/>
  <c r="G128" i="3"/>
  <c r="K128" i="3"/>
  <c r="S135" i="3"/>
  <c r="T135" i="3"/>
  <c r="U135" i="3"/>
  <c r="V135" i="3"/>
  <c r="X135" i="3"/>
  <c r="Y135" i="3"/>
  <c r="Z135" i="3"/>
  <c r="AA135" i="3"/>
  <c r="AC135" i="3"/>
  <c r="AD135" i="3"/>
  <c r="AE135" i="3"/>
  <c r="AF135" i="3"/>
  <c r="AH135" i="3"/>
  <c r="AI135" i="3"/>
  <c r="AJ135" i="3"/>
  <c r="AK135" i="3"/>
  <c r="S136" i="3"/>
  <c r="T136" i="3"/>
  <c r="U136" i="3"/>
  <c r="V136" i="3"/>
  <c r="X136" i="3"/>
  <c r="Y136" i="3"/>
  <c r="Z136" i="3"/>
  <c r="AA136" i="3"/>
  <c r="AC136" i="3"/>
  <c r="AD136" i="3"/>
  <c r="AE136" i="3"/>
  <c r="AF136" i="3"/>
  <c r="AH136" i="3"/>
  <c r="AI136" i="3"/>
  <c r="AJ136" i="3"/>
  <c r="AK136" i="3"/>
  <c r="S132" i="3"/>
  <c r="T132" i="3"/>
  <c r="U132" i="3"/>
  <c r="V132" i="3"/>
  <c r="X132" i="3"/>
  <c r="Y132" i="3"/>
  <c r="Z132" i="3"/>
  <c r="AA132" i="3"/>
  <c r="AC132" i="3"/>
  <c r="AD132" i="3"/>
  <c r="AE132" i="3"/>
  <c r="AF132" i="3"/>
  <c r="AH132" i="3"/>
  <c r="AI132" i="3"/>
  <c r="AJ132" i="3"/>
  <c r="AK132" i="3"/>
  <c r="S110" i="3"/>
  <c r="I226" i="3"/>
  <c r="I225" i="3"/>
  <c r="I227" i="3"/>
  <c r="J226" i="3"/>
  <c r="J225" i="3"/>
  <c r="J227" i="3"/>
  <c r="K226" i="3"/>
  <c r="K225" i="3"/>
  <c r="K227" i="3"/>
  <c r="D226" i="3"/>
  <c r="D225" i="3"/>
  <c r="D227" i="3"/>
  <c r="G142" i="3"/>
  <c r="G143" i="3"/>
  <c r="G144" i="3"/>
  <c r="G230" i="3"/>
  <c r="G225" i="3"/>
  <c r="G231" i="3"/>
  <c r="G228" i="3"/>
  <c r="G229" i="3"/>
  <c r="G145" i="3"/>
  <c r="G153" i="3"/>
  <c r="I50" i="3"/>
  <c r="J50" i="3"/>
  <c r="K50" i="3"/>
  <c r="AH50" i="3"/>
  <c r="AI50" i="3"/>
  <c r="AJ50" i="3"/>
  <c r="AK50" i="3"/>
  <c r="S52" i="3"/>
  <c r="X52" i="3"/>
  <c r="AC55" i="3"/>
  <c r="AD55" i="3"/>
  <c r="AE55" i="3"/>
  <c r="AF55" i="3"/>
  <c r="N82" i="3"/>
  <c r="O82" i="3"/>
  <c r="S85" i="3"/>
  <c r="X85" i="3"/>
  <c r="AC85" i="3"/>
  <c r="AH85" i="3"/>
  <c r="T52" i="3"/>
  <c r="Y52" i="3"/>
  <c r="T85" i="3"/>
  <c r="Y88" i="3"/>
  <c r="Z88" i="3"/>
  <c r="AA88" i="3"/>
  <c r="U52" i="3"/>
  <c r="Z52" i="3"/>
  <c r="U85" i="3"/>
  <c r="AH61" i="3"/>
  <c r="X63" i="3"/>
  <c r="AC63" i="3"/>
  <c r="AH63" i="3"/>
  <c r="AC94" i="3"/>
  <c r="AC101" i="3"/>
  <c r="X96" i="3"/>
  <c r="AC96" i="3"/>
  <c r="AH96" i="3"/>
  <c r="T63" i="3"/>
  <c r="Y63" i="3"/>
  <c r="AD63" i="3"/>
  <c r="AI63" i="3"/>
  <c r="Y96" i="3"/>
  <c r="AD96" i="3"/>
  <c r="AI96" i="3"/>
  <c r="U63" i="3"/>
  <c r="Z63" i="3"/>
  <c r="AE63" i="3"/>
  <c r="AJ63" i="3"/>
  <c r="Z96" i="3"/>
  <c r="AE96" i="3"/>
  <c r="AJ96" i="3"/>
  <c r="V63" i="3"/>
  <c r="AA63" i="3"/>
  <c r="AF63" i="3"/>
  <c r="AK63" i="3"/>
  <c r="V96" i="3"/>
  <c r="AA96" i="3"/>
  <c r="AF96" i="3"/>
  <c r="AK96" i="3"/>
  <c r="S65" i="3"/>
  <c r="X65" i="3"/>
  <c r="AC65" i="3"/>
  <c r="S98" i="3"/>
  <c r="X98" i="3"/>
  <c r="X117" i="3"/>
  <c r="Y117" i="3"/>
  <c r="Z117" i="3"/>
  <c r="AA117" i="3"/>
  <c r="S130" i="3"/>
  <c r="U131" i="3"/>
  <c r="T98" i="3"/>
  <c r="Y98" i="3"/>
  <c r="AD98" i="3"/>
  <c r="AI98" i="3"/>
  <c r="T116" i="3"/>
  <c r="T130" i="3"/>
  <c r="U65" i="3"/>
  <c r="Z65" i="3"/>
  <c r="AE65" i="3"/>
  <c r="U98" i="3"/>
  <c r="AC292" i="3"/>
  <c r="AD292" i="3"/>
  <c r="AC114" i="3"/>
  <c r="AH114" i="3"/>
  <c r="AA114" i="3"/>
  <c r="AF114" i="3"/>
  <c r="AK114" i="3"/>
  <c r="AE114" i="3"/>
  <c r="AJ114" i="3"/>
  <c r="AD114" i="3"/>
  <c r="AI114" i="3"/>
  <c r="S128" i="3"/>
  <c r="X128" i="3"/>
  <c r="V128" i="3"/>
  <c r="AA128" i="3"/>
  <c r="AF128" i="3"/>
  <c r="AK128" i="3"/>
  <c r="U128" i="3"/>
  <c r="T128" i="3"/>
  <c r="Y128" i="3"/>
  <c r="AD128" i="3"/>
  <c r="AI128" i="3"/>
  <c r="S133" i="3"/>
  <c r="T133" i="3"/>
  <c r="U133" i="3"/>
  <c r="V133" i="3"/>
  <c r="X133" i="3"/>
  <c r="Y133" i="3"/>
  <c r="Z133" i="3"/>
  <c r="AA133" i="3"/>
  <c r="AC133" i="3"/>
  <c r="AD133" i="3"/>
  <c r="AE133" i="3"/>
  <c r="AF133" i="3"/>
  <c r="AH133" i="3"/>
  <c r="AI133" i="3"/>
  <c r="AJ133" i="3"/>
  <c r="AK133" i="3"/>
  <c r="Q218" i="3"/>
  <c r="M219" i="3"/>
  <c r="Q203" i="3"/>
  <c r="Q205" i="3"/>
  <c r="S205" i="3"/>
  <c r="T205" i="3"/>
  <c r="U205" i="3"/>
  <c r="V205" i="3"/>
  <c r="Q211" i="3"/>
  <c r="Q212" i="3"/>
  <c r="S212" i="3"/>
  <c r="T212" i="3"/>
  <c r="U212" i="3"/>
  <c r="V212" i="3"/>
  <c r="Q213" i="3"/>
  <c r="S213" i="3"/>
  <c r="T213" i="3"/>
  <c r="U213" i="3"/>
  <c r="V213" i="3"/>
  <c r="X213" i="3"/>
  <c r="Y213" i="3"/>
  <c r="Z213" i="3"/>
  <c r="AA213" i="3"/>
  <c r="AC213" i="3"/>
  <c r="AD213" i="3"/>
  <c r="AE213" i="3"/>
  <c r="AF213" i="3"/>
  <c r="K234" i="3"/>
  <c r="Q194" i="3"/>
  <c r="M197" i="3"/>
  <c r="Q198" i="3"/>
  <c r="R266" i="3"/>
  <c r="R267" i="3"/>
  <c r="R268" i="3"/>
  <c r="Q270" i="3"/>
  <c r="R272" i="3"/>
  <c r="Q247" i="3"/>
  <c r="R249" i="3"/>
  <c r="R274" i="3"/>
  <c r="W266" i="3"/>
  <c r="W267" i="3"/>
  <c r="W268" i="3"/>
  <c r="S270" i="3"/>
  <c r="T270" i="3"/>
  <c r="U270" i="3"/>
  <c r="V270" i="3"/>
  <c r="W272" i="3"/>
  <c r="S151" i="3"/>
  <c r="T151" i="3"/>
  <c r="U151" i="3"/>
  <c r="I230" i="3"/>
  <c r="I231" i="3"/>
  <c r="S247" i="3"/>
  <c r="S226" i="3"/>
  <c r="X226" i="3"/>
  <c r="S228" i="3"/>
  <c r="X228" i="3"/>
  <c r="J230" i="3"/>
  <c r="T230" i="3"/>
  <c r="Y230" i="3"/>
  <c r="T247" i="3"/>
  <c r="T226" i="3"/>
  <c r="T225" i="3"/>
  <c r="T227" i="3"/>
  <c r="T228" i="3"/>
  <c r="T229" i="3"/>
  <c r="K230" i="3"/>
  <c r="U230" i="3"/>
  <c r="U247" i="3"/>
  <c r="U226" i="3"/>
  <c r="Z226" i="3"/>
  <c r="U228" i="3"/>
  <c r="Z228" i="3"/>
  <c r="V230" i="3"/>
  <c r="AA230" i="3"/>
  <c r="W29" i="3"/>
  <c r="V247" i="3"/>
  <c r="W249" i="3"/>
  <c r="V226" i="3"/>
  <c r="AA226" i="3"/>
  <c r="AF226" i="3"/>
  <c r="AF225" i="3"/>
  <c r="AF227" i="3"/>
  <c r="V228" i="3"/>
  <c r="AA228" i="3"/>
  <c r="W274" i="3"/>
  <c r="AB266" i="3"/>
  <c r="AB267" i="3"/>
  <c r="AB268" i="3"/>
  <c r="X270" i="3"/>
  <c r="Y270" i="3"/>
  <c r="Z270" i="3"/>
  <c r="AA270" i="3"/>
  <c r="AB272" i="3"/>
  <c r="X247" i="3"/>
  <c r="Y247" i="3"/>
  <c r="Z247" i="3"/>
  <c r="AB29" i="3"/>
  <c r="AA247" i="3"/>
  <c r="AB249" i="3"/>
  <c r="AB274" i="3"/>
  <c r="AC207" i="3"/>
  <c r="AC270" i="3"/>
  <c r="AC247" i="3"/>
  <c r="AD207" i="3"/>
  <c r="AE207" i="3"/>
  <c r="AD270" i="3"/>
  <c r="AD247" i="3"/>
  <c r="AE270" i="3"/>
  <c r="AE247" i="3"/>
  <c r="AF270" i="3"/>
  <c r="AF247" i="3"/>
  <c r="AG266" i="3"/>
  <c r="AG267" i="3"/>
  <c r="AG268" i="3"/>
  <c r="AG272" i="3"/>
  <c r="AG29" i="3"/>
  <c r="AG249" i="3"/>
  <c r="AG274" i="3"/>
  <c r="AH207" i="3"/>
  <c r="AH270" i="3"/>
  <c r="AH247" i="3"/>
  <c r="AI270" i="3"/>
  <c r="AI247" i="3"/>
  <c r="AJ270" i="3"/>
  <c r="AJ247" i="3"/>
  <c r="AL29" i="3"/>
  <c r="AK247" i="3"/>
  <c r="AL249" i="3"/>
  <c r="AL207" i="3"/>
  <c r="R279" i="3"/>
  <c r="W279" i="3"/>
  <c r="AB279" i="3"/>
  <c r="AG279" i="3"/>
  <c r="AL279" i="3"/>
  <c r="K283" i="3"/>
  <c r="AK270" i="3"/>
  <c r="AL266" i="3"/>
  <c r="AL267" i="3"/>
  <c r="AL268" i="3"/>
  <c r="AL272" i="3"/>
  <c r="AL274" i="3"/>
  <c r="D177" i="3"/>
  <c r="E177" i="3"/>
  <c r="F177" i="3"/>
  <c r="G177" i="3"/>
  <c r="I177" i="3"/>
  <c r="J177" i="3"/>
  <c r="K177" i="3"/>
  <c r="L177" i="3"/>
  <c r="L27" i="3"/>
  <c r="L179" i="3"/>
  <c r="L37" i="3"/>
  <c r="H206" i="3"/>
  <c r="J37" i="3"/>
  <c r="E178" i="3"/>
  <c r="E37" i="3"/>
  <c r="K179" i="3"/>
  <c r="K37" i="3"/>
  <c r="F178" i="3"/>
  <c r="F37" i="3"/>
  <c r="G37" i="3"/>
  <c r="I37" i="3"/>
  <c r="D37" i="3"/>
  <c r="H116" i="3"/>
  <c r="I94" i="3"/>
  <c r="J94" i="3"/>
  <c r="K94" i="3"/>
  <c r="AL208" i="3"/>
  <c r="AG207" i="3"/>
  <c r="AG208" i="3"/>
  <c r="AB207" i="3"/>
  <c r="AB208" i="3"/>
  <c r="W207" i="3"/>
  <c r="W208" i="3"/>
  <c r="R207" i="3"/>
  <c r="R208" i="3"/>
  <c r="M208" i="3"/>
  <c r="G56" i="3"/>
  <c r="G61" i="3"/>
  <c r="G62" i="3"/>
  <c r="G63" i="3"/>
  <c r="G94" i="3"/>
  <c r="G95" i="3"/>
  <c r="G96" i="3"/>
  <c r="I62" i="3"/>
  <c r="I63" i="3"/>
  <c r="I95" i="3"/>
  <c r="I96" i="3"/>
  <c r="K117" i="3"/>
  <c r="J117" i="3"/>
  <c r="I117" i="3"/>
  <c r="K131" i="3"/>
  <c r="J131" i="3"/>
  <c r="I131" i="3"/>
  <c r="J62" i="3"/>
  <c r="J63" i="3"/>
  <c r="J95" i="3"/>
  <c r="J96" i="3"/>
  <c r="K62" i="3"/>
  <c r="K63" i="3"/>
  <c r="K95" i="3"/>
  <c r="K96" i="3"/>
  <c r="G50" i="3"/>
  <c r="G83" i="3"/>
  <c r="I83" i="3"/>
  <c r="J83" i="3"/>
  <c r="K83" i="3"/>
  <c r="K101" i="3"/>
  <c r="I76" i="3"/>
  <c r="I79" i="3"/>
  <c r="I69" i="3"/>
  <c r="G76" i="3"/>
  <c r="G79" i="3"/>
  <c r="G69" i="3"/>
  <c r="J76" i="3"/>
  <c r="J79" i="3"/>
  <c r="J69" i="3"/>
  <c r="K69" i="3"/>
  <c r="I109" i="3"/>
  <c r="I102" i="3"/>
  <c r="G109" i="3"/>
  <c r="G113" i="3"/>
  <c r="G102" i="3"/>
  <c r="J109" i="3"/>
  <c r="J102" i="3"/>
  <c r="K102" i="3"/>
  <c r="I123" i="3"/>
  <c r="I127" i="3"/>
  <c r="I128" i="3"/>
  <c r="J123" i="3"/>
  <c r="F161" i="3"/>
  <c r="F168" i="3"/>
  <c r="D230" i="3"/>
  <c r="D231" i="3"/>
  <c r="D228" i="3"/>
  <c r="D229" i="3"/>
  <c r="I228" i="3"/>
  <c r="I229" i="3"/>
  <c r="E230" i="3"/>
  <c r="E225" i="3"/>
  <c r="E231" i="3"/>
  <c r="E228" i="3"/>
  <c r="E229" i="3"/>
  <c r="J228" i="3"/>
  <c r="J229" i="3"/>
  <c r="F230" i="3"/>
  <c r="F225" i="3"/>
  <c r="F231" i="3"/>
  <c r="F228" i="3"/>
  <c r="F229" i="3"/>
  <c r="K228" i="3"/>
  <c r="K229" i="3"/>
  <c r="F162" i="3"/>
  <c r="E162" i="3"/>
  <c r="E165" i="3"/>
  <c r="E168" i="3"/>
  <c r="D164" i="3"/>
  <c r="D165" i="3"/>
  <c r="H189" i="3"/>
  <c r="H171" i="3"/>
  <c r="H172" i="3"/>
  <c r="H173" i="3"/>
  <c r="H174" i="3"/>
  <c r="H170" i="3"/>
  <c r="K142" i="3"/>
  <c r="I142" i="3"/>
  <c r="K125" i="3"/>
  <c r="K126" i="3"/>
  <c r="K137" i="3"/>
  <c r="K138" i="3"/>
  <c r="J137" i="3"/>
  <c r="J139" i="3"/>
  <c r="J140" i="3"/>
  <c r="I137" i="3"/>
  <c r="I138" i="3"/>
  <c r="K145" i="3"/>
  <c r="J145" i="3"/>
  <c r="I145" i="3"/>
  <c r="K144" i="3"/>
  <c r="J144" i="3"/>
  <c r="I144" i="3"/>
  <c r="K143" i="3"/>
  <c r="J143" i="3"/>
  <c r="I143" i="3"/>
  <c r="J142" i="3"/>
  <c r="E142" i="3"/>
  <c r="F142" i="3"/>
  <c r="E143" i="3"/>
  <c r="F143" i="3"/>
  <c r="E144" i="3"/>
  <c r="F144" i="3"/>
  <c r="E145" i="3"/>
  <c r="F145" i="3"/>
  <c r="E69" i="3"/>
  <c r="E76" i="3"/>
  <c r="E102" i="3"/>
  <c r="E109" i="3"/>
  <c r="E113" i="3"/>
  <c r="E123" i="3"/>
  <c r="E125" i="3"/>
  <c r="E126" i="3"/>
  <c r="E137" i="3"/>
  <c r="E138" i="3"/>
  <c r="F69" i="3"/>
  <c r="F76" i="3"/>
  <c r="F79" i="3"/>
  <c r="F102" i="3"/>
  <c r="F109" i="3"/>
  <c r="F113" i="3"/>
  <c r="F123" i="3"/>
  <c r="F125" i="3"/>
  <c r="F126" i="3"/>
  <c r="F137" i="3"/>
  <c r="F138" i="3"/>
  <c r="G137" i="3"/>
  <c r="D69" i="3"/>
  <c r="D76" i="3"/>
  <c r="D79" i="3"/>
  <c r="D102" i="3"/>
  <c r="D109" i="3"/>
  <c r="D113" i="3"/>
  <c r="D123" i="3"/>
  <c r="D125" i="3"/>
  <c r="D126" i="3"/>
  <c r="D137" i="3"/>
  <c r="D139" i="3"/>
  <c r="D140" i="3"/>
  <c r="D145" i="3"/>
  <c r="D144" i="3"/>
  <c r="D143" i="3"/>
  <c r="D142" i="3"/>
  <c r="J99" i="3"/>
  <c r="K99" i="3"/>
  <c r="I99" i="3"/>
  <c r="D95" i="3"/>
  <c r="D96" i="3"/>
  <c r="E92" i="3"/>
  <c r="D92" i="3"/>
  <c r="K66" i="3"/>
  <c r="I66" i="3"/>
  <c r="D58" i="3"/>
  <c r="E62" i="3"/>
  <c r="E63" i="3"/>
  <c r="F62" i="3"/>
  <c r="F63" i="3"/>
  <c r="J66" i="3"/>
  <c r="F94" i="3"/>
  <c r="D94" i="3"/>
  <c r="F83" i="3"/>
  <c r="E83" i="3"/>
  <c r="D83" i="3"/>
  <c r="D62" i="3"/>
  <c r="D63" i="3"/>
  <c r="D61" i="3"/>
  <c r="E61" i="3"/>
  <c r="F61" i="3"/>
  <c r="I51" i="3"/>
  <c r="D50" i="3"/>
  <c r="E50" i="3"/>
  <c r="F50" i="3"/>
  <c r="AK225" i="3"/>
  <c r="AJ225" i="3"/>
  <c r="AI225" i="3"/>
  <c r="AH225" i="3"/>
  <c r="F91" i="3"/>
  <c r="E91" i="3"/>
  <c r="D91" i="3"/>
  <c r="K51" i="3"/>
  <c r="J51" i="3"/>
  <c r="E94" i="3"/>
  <c r="K84" i="3"/>
  <c r="F95" i="3"/>
  <c r="F96" i="3"/>
  <c r="J84" i="3"/>
  <c r="J92" i="3"/>
  <c r="E95" i="3"/>
  <c r="E96" i="3"/>
  <c r="I84" i="3"/>
  <c r="AL161" i="3"/>
  <c r="AH83" i="3"/>
  <c r="AI83" i="3"/>
  <c r="AD225" i="3"/>
  <c r="AE225" i="3"/>
  <c r="AC225" i="3"/>
  <c r="AA225" i="3"/>
  <c r="Z225" i="3"/>
  <c r="Y225" i="3"/>
  <c r="X225" i="3"/>
  <c r="V225" i="3"/>
  <c r="U225" i="3"/>
  <c r="S225" i="3"/>
  <c r="Q225" i="3"/>
  <c r="P225" i="3"/>
  <c r="O225" i="3"/>
  <c r="N225" i="3"/>
  <c r="L225" i="3"/>
  <c r="F236" i="3"/>
  <c r="H195" i="3"/>
  <c r="H212" i="3"/>
  <c r="H193" i="3"/>
  <c r="F233" i="3"/>
  <c r="H186" i="3"/>
  <c r="H191" i="3"/>
  <c r="H187" i="3"/>
  <c r="H188" i="3"/>
  <c r="H228" i="3"/>
  <c r="H192" i="3"/>
  <c r="H194" i="3"/>
  <c r="H196" i="3"/>
  <c r="H197" i="3"/>
  <c r="H198" i="3"/>
  <c r="H201" i="3"/>
  <c r="H230" i="3"/>
  <c r="I290" i="3"/>
  <c r="J209" i="3"/>
  <c r="I209" i="3"/>
  <c r="I214" i="3"/>
  <c r="D209" i="3"/>
  <c r="D214" i="3"/>
  <c r="G209" i="3"/>
  <c r="G214" i="3"/>
  <c r="H208" i="3"/>
  <c r="H202" i="3"/>
  <c r="H203" i="3"/>
  <c r="H204" i="3"/>
  <c r="H205" i="3"/>
  <c r="H207" i="3"/>
  <c r="F209" i="3"/>
  <c r="F214" i="3"/>
  <c r="E207" i="3"/>
  <c r="E209" i="3"/>
  <c r="E214" i="3"/>
  <c r="I216" i="3"/>
  <c r="J216" i="3"/>
  <c r="G216" i="3"/>
  <c r="H211" i="3"/>
  <c r="D292" i="3"/>
  <c r="F216" i="3"/>
  <c r="H276" i="3"/>
  <c r="E216" i="3"/>
  <c r="F220" i="3"/>
  <c r="F234" i="3"/>
  <c r="D233" i="3"/>
  <c r="E233" i="3"/>
  <c r="E220" i="3"/>
  <c r="E234" i="3"/>
  <c r="D236" i="3"/>
  <c r="E236" i="3"/>
  <c r="F283" i="3"/>
  <c r="F153" i="3"/>
  <c r="F58" i="3"/>
  <c r="E58" i="3"/>
  <c r="G220" i="3"/>
  <c r="J214" i="3"/>
  <c r="AG161" i="3"/>
  <c r="AG83" i="3"/>
  <c r="AG50" i="3"/>
  <c r="E153" i="3"/>
  <c r="E283" i="3"/>
  <c r="E67" i="3"/>
  <c r="D216" i="3"/>
  <c r="D220" i="3"/>
  <c r="D234" i="3"/>
  <c r="H210" i="3"/>
  <c r="P231" i="3"/>
  <c r="P227" i="3"/>
  <c r="G283" i="3"/>
  <c r="I283" i="3"/>
  <c r="J283" i="3"/>
  <c r="M210" i="3"/>
  <c r="D283" i="3"/>
  <c r="F5" i="29"/>
  <c r="G5" i="29"/>
  <c r="F6" i="29"/>
  <c r="G6" i="29"/>
  <c r="F7" i="29"/>
  <c r="G7" i="29"/>
  <c r="F8" i="29"/>
  <c r="G8" i="29"/>
  <c r="F9" i="29"/>
  <c r="G9" i="29"/>
  <c r="F10" i="29"/>
  <c r="G10" i="29"/>
  <c r="F11" i="29"/>
  <c r="G11" i="29"/>
  <c r="F12" i="29"/>
  <c r="G12" i="29"/>
  <c r="F13" i="29"/>
  <c r="G13" i="29"/>
  <c r="F14" i="29"/>
  <c r="G14" i="29"/>
  <c r="F15" i="29"/>
  <c r="G15" i="29"/>
  <c r="F16" i="29"/>
  <c r="G16" i="29"/>
  <c r="D290" i="3"/>
  <c r="D235" i="3"/>
  <c r="E235" i="3"/>
  <c r="G235" i="3"/>
  <c r="J235" i="3"/>
  <c r="I235" i="3"/>
  <c r="F235" i="3"/>
  <c r="K235" i="3"/>
  <c r="P229" i="3"/>
  <c r="O229" i="3"/>
  <c r="H219" i="3"/>
  <c r="H44" i="3"/>
  <c r="D100" i="3"/>
  <c r="D67" i="3"/>
  <c r="E100" i="3"/>
  <c r="D59" i="3"/>
  <c r="F100" i="3"/>
  <c r="I67" i="3"/>
  <c r="G67" i="3"/>
  <c r="J67" i="3"/>
  <c r="K67" i="3"/>
  <c r="H161" i="3"/>
  <c r="H213" i="3"/>
  <c r="Q227" i="3"/>
  <c r="N227" i="3"/>
  <c r="L227" i="3"/>
  <c r="L231" i="3"/>
  <c r="M161" i="3"/>
  <c r="O227" i="3"/>
  <c r="Q231" i="3"/>
  <c r="R161" i="3"/>
  <c r="W161" i="3"/>
  <c r="AB161" i="3"/>
  <c r="H216" i="3"/>
  <c r="E59" i="3"/>
  <c r="L229" i="3"/>
  <c r="N229" i="3"/>
  <c r="S227" i="3"/>
  <c r="G100" i="3"/>
  <c r="I100" i="3"/>
  <c r="F59" i="3"/>
  <c r="Q229" i="3"/>
  <c r="N231" i="3"/>
  <c r="O231" i="3"/>
  <c r="V229" i="3"/>
  <c r="G91" i="3"/>
  <c r="F92" i="3"/>
  <c r="G92" i="3"/>
  <c r="I91" i="3"/>
  <c r="J100" i="3"/>
  <c r="L101" i="3"/>
  <c r="K91" i="3"/>
  <c r="J91" i="3"/>
  <c r="G58" i="3"/>
  <c r="G59" i="3"/>
  <c r="H57" i="3"/>
  <c r="I58" i="3"/>
  <c r="K100" i="3"/>
  <c r="N101" i="3"/>
  <c r="J58" i="3"/>
  <c r="O101" i="3"/>
  <c r="R83" i="3"/>
  <c r="K58" i="3"/>
  <c r="P101" i="3"/>
  <c r="R94" i="3"/>
  <c r="S101" i="3"/>
  <c r="Q101" i="3"/>
  <c r="W83" i="3"/>
  <c r="T101" i="3"/>
  <c r="AB83" i="3"/>
  <c r="U101" i="3"/>
  <c r="Y101" i="3"/>
  <c r="X101" i="3"/>
  <c r="V101" i="3"/>
  <c r="W94" i="3"/>
  <c r="Z101" i="3"/>
  <c r="AA101" i="3"/>
  <c r="AB94" i="3"/>
  <c r="AB101" i="3"/>
  <c r="H218" i="3"/>
  <c r="I220" i="3"/>
  <c r="I234" i="3"/>
  <c r="J220" i="3"/>
  <c r="J234" i="3"/>
  <c r="H217" i="3"/>
  <c r="L68" i="3"/>
  <c r="F67" i="3"/>
  <c r="AC68" i="3"/>
  <c r="AD68" i="3"/>
  <c r="AE68" i="3"/>
  <c r="AF68" i="3"/>
  <c r="AG61" i="3"/>
  <c r="G18" i="29"/>
  <c r="G19" i="29"/>
  <c r="G20" i="29"/>
  <c r="K92" i="3"/>
  <c r="M218" i="3"/>
  <c r="L283" i="3"/>
  <c r="Y226" i="3"/>
  <c r="AD226" i="3"/>
  <c r="AI226" i="3"/>
  <c r="AI227" i="3"/>
  <c r="V231" i="3"/>
  <c r="J68" i="3"/>
  <c r="H162" i="3"/>
  <c r="K231" i="3"/>
  <c r="V227" i="3"/>
  <c r="J59" i="3"/>
  <c r="U227" i="3"/>
  <c r="M213" i="3"/>
  <c r="M189" i="3"/>
  <c r="K68" i="3"/>
  <c r="F68" i="3"/>
  <c r="M192" i="3"/>
  <c r="I59" i="3"/>
  <c r="H226" i="3"/>
  <c r="D289" i="3"/>
  <c r="I92" i="3"/>
  <c r="F139" i="3"/>
  <c r="F140" i="3"/>
  <c r="K80" i="3"/>
  <c r="J231" i="3"/>
  <c r="D68" i="3"/>
  <c r="K111" i="3"/>
  <c r="K112" i="3"/>
  <c r="K114" i="3"/>
  <c r="M211" i="3"/>
  <c r="M206" i="3"/>
  <c r="M83" i="3"/>
  <c r="I77" i="3"/>
  <c r="I78" i="3"/>
  <c r="M205" i="3"/>
  <c r="E101" i="3"/>
  <c r="H69" i="3"/>
  <c r="J80" i="3"/>
  <c r="M50" i="3"/>
  <c r="I27" i="3"/>
  <c r="I180" i="3"/>
  <c r="G68" i="3"/>
  <c r="Y228" i="3"/>
  <c r="Y229" i="3"/>
  <c r="D149" i="3"/>
  <c r="M44" i="3"/>
  <c r="D138" i="3"/>
  <c r="G80" i="3"/>
  <c r="S160" i="3"/>
  <c r="T160" i="3"/>
  <c r="T162" i="3"/>
  <c r="F101" i="3"/>
  <c r="D80" i="3"/>
  <c r="AH68" i="3"/>
  <c r="X212" i="3"/>
  <c r="Y212" i="3"/>
  <c r="Z212" i="3"/>
  <c r="AA212" i="3"/>
  <c r="W212" i="3"/>
  <c r="X229" i="3"/>
  <c r="AC228" i="3"/>
  <c r="AF228" i="3"/>
  <c r="AK228" i="3"/>
  <c r="AK229" i="3"/>
  <c r="AA229" i="3"/>
  <c r="AA231" i="3"/>
  <c r="AF230" i="3"/>
  <c r="AF231" i="3"/>
  <c r="F27" i="3"/>
  <c r="F180" i="3"/>
  <c r="I148" i="3"/>
  <c r="S229" i="3"/>
  <c r="D114" i="3"/>
  <c r="J138" i="3"/>
  <c r="J111" i="3"/>
  <c r="J112" i="3"/>
  <c r="M116" i="3"/>
  <c r="M117" i="3"/>
  <c r="P144" i="3"/>
  <c r="U130" i="3"/>
  <c r="F77" i="3"/>
  <c r="J77" i="3"/>
  <c r="J78" i="3"/>
  <c r="G114" i="3"/>
  <c r="Q197" i="3"/>
  <c r="M212" i="3"/>
  <c r="W101" i="3"/>
  <c r="F158" i="3"/>
  <c r="AD52" i="3"/>
  <c r="AI52" i="3"/>
  <c r="AC52" i="3"/>
  <c r="AH52" i="3"/>
  <c r="H175" i="3"/>
  <c r="L235" i="3"/>
  <c r="I68" i="3"/>
  <c r="Q219" i="3"/>
  <c r="R219" i="3"/>
  <c r="K59" i="3"/>
  <c r="E237" i="3"/>
  <c r="E111" i="3"/>
  <c r="E112" i="3"/>
  <c r="J290" i="3"/>
  <c r="L91" i="3"/>
  <c r="AE52" i="3"/>
  <c r="AJ52" i="3"/>
  <c r="K27" i="3"/>
  <c r="K180" i="3"/>
  <c r="E27" i="3"/>
  <c r="E180" i="3"/>
  <c r="X205" i="3"/>
  <c r="Y205" i="3"/>
  <c r="Z205" i="3"/>
  <c r="AA205" i="3"/>
  <c r="AC205" i="3"/>
  <c r="AD205" i="3"/>
  <c r="AE205" i="3"/>
  <c r="AF205" i="3"/>
  <c r="W205" i="3"/>
  <c r="AF229" i="3"/>
  <c r="M198" i="3"/>
  <c r="M207" i="3"/>
  <c r="M283" i="3"/>
  <c r="AL50" i="3"/>
  <c r="F114" i="3"/>
  <c r="U116" i="3"/>
  <c r="Z116" i="3"/>
  <c r="K290" i="3"/>
  <c r="J148" i="3"/>
  <c r="H102" i="3"/>
  <c r="D111" i="3"/>
  <c r="D112" i="3"/>
  <c r="I111" i="3"/>
  <c r="I112" i="3"/>
  <c r="R212" i="3"/>
  <c r="M61" i="3"/>
  <c r="M35" i="3"/>
  <c r="O59" i="3"/>
  <c r="V131" i="3"/>
  <c r="X131" i="3"/>
  <c r="Y131" i="3"/>
  <c r="Z131" i="3"/>
  <c r="AA131" i="3"/>
  <c r="AC131" i="3"/>
  <c r="AD131" i="3"/>
  <c r="AE131" i="3"/>
  <c r="AF131" i="3"/>
  <c r="AH131" i="3"/>
  <c r="AI131" i="3"/>
  <c r="AJ131" i="3"/>
  <c r="AK131" i="3"/>
  <c r="AB247" i="3"/>
  <c r="L67" i="3"/>
  <c r="E292" i="3"/>
  <c r="H236" i="3"/>
  <c r="D127" i="3"/>
  <c r="D128" i="3"/>
  <c r="D77" i="3"/>
  <c r="D78" i="3"/>
  <c r="Y85" i="3"/>
  <c r="AD85" i="3"/>
  <c r="AI85" i="3"/>
  <c r="N49" i="3"/>
  <c r="E290" i="3"/>
  <c r="R101" i="3"/>
  <c r="E114" i="3"/>
  <c r="E159" i="3"/>
  <c r="M204" i="3"/>
  <c r="AL270" i="3"/>
  <c r="AA116" i="3"/>
  <c r="G226" i="3"/>
  <c r="G227" i="3"/>
  <c r="H220" i="3"/>
  <c r="E289" i="3"/>
  <c r="E226" i="3"/>
  <c r="E227" i="3"/>
  <c r="G101" i="3"/>
  <c r="M203" i="3"/>
  <c r="W270" i="3"/>
  <c r="O92" i="3"/>
  <c r="R116" i="3"/>
  <c r="H283" i="3"/>
  <c r="H233" i="3"/>
  <c r="K139" i="3"/>
  <c r="K140" i="3"/>
  <c r="F159" i="3"/>
  <c r="N144" i="3"/>
  <c r="F149" i="3"/>
  <c r="F78" i="3"/>
  <c r="Z229" i="3"/>
  <c r="AE228" i="3"/>
  <c r="S194" i="3"/>
  <c r="T194" i="3"/>
  <c r="U194" i="3"/>
  <c r="V194" i="3"/>
  <c r="R194" i="3"/>
  <c r="R218" i="3"/>
  <c r="S218" i="3"/>
  <c r="T218" i="3"/>
  <c r="U218" i="3"/>
  <c r="V218" i="3"/>
  <c r="D180" i="3"/>
  <c r="D27" i="3"/>
  <c r="AE226" i="3"/>
  <c r="Z227" i="3"/>
  <c r="S198" i="3"/>
  <c r="T198" i="3"/>
  <c r="U198" i="3"/>
  <c r="V198" i="3"/>
  <c r="R198" i="3"/>
  <c r="J27" i="3"/>
  <c r="J180" i="3"/>
  <c r="S211" i="3"/>
  <c r="T211" i="3"/>
  <c r="U211" i="3"/>
  <c r="V211" i="3"/>
  <c r="R211" i="3"/>
  <c r="AD230" i="3"/>
  <c r="Y231" i="3"/>
  <c r="Z230" i="3"/>
  <c r="U231" i="3"/>
  <c r="AC226" i="3"/>
  <c r="X227" i="3"/>
  <c r="F292" i="3"/>
  <c r="S203" i="3"/>
  <c r="T203" i="3"/>
  <c r="U203" i="3"/>
  <c r="V203" i="3"/>
  <c r="R203" i="3"/>
  <c r="G290" i="3"/>
  <c r="F290" i="3"/>
  <c r="AH213" i="3"/>
  <c r="AI213" i="3"/>
  <c r="AJ213" i="3"/>
  <c r="AK213" i="3"/>
  <c r="AL213" i="3"/>
  <c r="AG213" i="3"/>
  <c r="G27" i="3"/>
  <c r="G180" i="3"/>
  <c r="F237" i="3"/>
  <c r="I221" i="3"/>
  <c r="M162" i="3"/>
  <c r="U229" i="3"/>
  <c r="H61" i="3"/>
  <c r="E139" i="3"/>
  <c r="E140" i="3"/>
  <c r="I125" i="3"/>
  <c r="I126" i="3"/>
  <c r="K77" i="3"/>
  <c r="K78" i="3"/>
  <c r="V151" i="3"/>
  <c r="X151" i="3"/>
  <c r="S230" i="3"/>
  <c r="Q92" i="3"/>
  <c r="S116" i="3"/>
  <c r="AJ83" i="3"/>
  <c r="AK83" i="3"/>
  <c r="F80" i="3"/>
  <c r="F111" i="3"/>
  <c r="F112" i="3"/>
  <c r="I80" i="3"/>
  <c r="AB213" i="3"/>
  <c r="AK226" i="3"/>
  <c r="AK227" i="3"/>
  <c r="AB270" i="3"/>
  <c r="R247" i="3"/>
  <c r="P92" i="3"/>
  <c r="I139" i="3"/>
  <c r="I140" i="3"/>
  <c r="G125" i="3"/>
  <c r="G126" i="3"/>
  <c r="R205" i="3"/>
  <c r="AG247" i="3"/>
  <c r="W247" i="3"/>
  <c r="R162" i="3"/>
  <c r="L100" i="3"/>
  <c r="H209" i="3"/>
  <c r="H214" i="3"/>
  <c r="G111" i="3"/>
  <c r="G112" i="3"/>
  <c r="E77" i="3"/>
  <c r="E78" i="3"/>
  <c r="E158" i="3"/>
  <c r="F226" i="3"/>
  <c r="F227" i="3"/>
  <c r="J113" i="3"/>
  <c r="J114" i="3"/>
  <c r="M194" i="3"/>
  <c r="W213" i="3"/>
  <c r="J101" i="3"/>
  <c r="M37" i="3"/>
  <c r="K148" i="3"/>
  <c r="T231" i="3"/>
  <c r="F289" i="3"/>
  <c r="AL247" i="3"/>
  <c r="AA227" i="3"/>
  <c r="AG68" i="3"/>
  <c r="E221" i="3"/>
  <c r="H94" i="3"/>
  <c r="G77" i="3"/>
  <c r="G78" i="3"/>
  <c r="R213" i="3"/>
  <c r="S84" i="3"/>
  <c r="S90" i="3"/>
  <c r="R270" i="3"/>
  <c r="G221" i="3"/>
  <c r="G234" i="3"/>
  <c r="S35" i="3"/>
  <c r="G138" i="3"/>
  <c r="G139" i="3"/>
  <c r="G140" i="3"/>
  <c r="J127" i="3"/>
  <c r="J128" i="3"/>
  <c r="J125" i="3"/>
  <c r="H37" i="3"/>
  <c r="J221" i="3"/>
  <c r="F221" i="3"/>
  <c r="I113" i="3"/>
  <c r="I114" i="3"/>
  <c r="H83" i="3"/>
  <c r="D101" i="3"/>
  <c r="D221" i="3"/>
  <c r="E127" i="3"/>
  <c r="E128" i="3"/>
  <c r="H50" i="3"/>
  <c r="E68" i="3"/>
  <c r="M94" i="3"/>
  <c r="I101" i="3"/>
  <c r="F127" i="3"/>
  <c r="F128" i="3"/>
  <c r="E79" i="3"/>
  <c r="E80" i="3"/>
  <c r="L180" i="3"/>
  <c r="AI207" i="3"/>
  <c r="AG270" i="3"/>
  <c r="T110" i="3"/>
  <c r="Q144" i="3"/>
  <c r="AC128" i="3"/>
  <c r="AH128" i="3"/>
  <c r="AE292" i="3"/>
  <c r="AF292" i="3"/>
  <c r="AC98" i="3"/>
  <c r="Z128" i="3"/>
  <c r="Z98" i="3"/>
  <c r="AI61" i="3"/>
  <c r="AJ61" i="3"/>
  <c r="AJ68" i="3"/>
  <c r="S56" i="3"/>
  <c r="T56" i="3"/>
  <c r="U56" i="3"/>
  <c r="V56" i="3"/>
  <c r="X56" i="3"/>
  <c r="Y56" i="3"/>
  <c r="Z56" i="3"/>
  <c r="AA56" i="3"/>
  <c r="AC56" i="3"/>
  <c r="AD56" i="3"/>
  <c r="AE56" i="3"/>
  <c r="AF56" i="3"/>
  <c r="AH56" i="3"/>
  <c r="AI56" i="3"/>
  <c r="AJ56" i="3"/>
  <c r="AK56" i="3"/>
  <c r="T65" i="3"/>
  <c r="AA98" i="3"/>
  <c r="AH65" i="3"/>
  <c r="AC117" i="3"/>
  <c r="AD117" i="3"/>
  <c r="AE117" i="3"/>
  <c r="AF117" i="3"/>
  <c r="AH117" i="3"/>
  <c r="AI117" i="3"/>
  <c r="AJ117" i="3"/>
  <c r="AK117" i="3"/>
  <c r="Z85" i="3"/>
  <c r="AE85" i="3"/>
  <c r="AJ85" i="3"/>
  <c r="AA85" i="3"/>
  <c r="AF85" i="3"/>
  <c r="AK85" i="3"/>
  <c r="AF65" i="3"/>
  <c r="Y116" i="3"/>
  <c r="AJ65" i="3"/>
  <c r="AF52" i="3"/>
  <c r="AK52" i="3"/>
  <c r="P82" i="3"/>
  <c r="T84" i="3"/>
  <c r="T90" i="3"/>
  <c r="AD94" i="3"/>
  <c r="AE94" i="3"/>
  <c r="H289" i="3"/>
  <c r="G21" i="29"/>
  <c r="C331" i="3"/>
  <c r="AD228" i="3"/>
  <c r="AI228" i="3"/>
  <c r="AI229" i="3"/>
  <c r="M153" i="3"/>
  <c r="Y227" i="3"/>
  <c r="AD227" i="3"/>
  <c r="M68" i="3"/>
  <c r="S162" i="3"/>
  <c r="H237" i="3"/>
  <c r="U160" i="3"/>
  <c r="U162" i="3"/>
  <c r="V130" i="3"/>
  <c r="V16" i="3"/>
  <c r="S219" i="3"/>
  <c r="T219" i="3"/>
  <c r="U219" i="3"/>
  <c r="V219" i="3"/>
  <c r="W219" i="3"/>
  <c r="Q206" i="3"/>
  <c r="Q255" i="3"/>
  <c r="R255" i="3"/>
  <c r="F28" i="3"/>
  <c r="F38" i="3"/>
  <c r="F43" i="3"/>
  <c r="Y130" i="3"/>
  <c r="AD130" i="3"/>
  <c r="M101" i="3"/>
  <c r="H290" i="3"/>
  <c r="J146" i="3"/>
  <c r="M27" i="3"/>
  <c r="Q292" i="3"/>
  <c r="O91" i="3"/>
  <c r="O142" i="3"/>
  <c r="U16" i="3"/>
  <c r="U144" i="3"/>
  <c r="E28" i="3"/>
  <c r="E150" i="3"/>
  <c r="E146" i="3"/>
  <c r="E149" i="3"/>
  <c r="H221" i="3"/>
  <c r="S197" i="3"/>
  <c r="T197" i="3"/>
  <c r="U197" i="3"/>
  <c r="V197" i="3"/>
  <c r="R197" i="3"/>
  <c r="AK230" i="3"/>
  <c r="AK231" i="3"/>
  <c r="H101" i="3"/>
  <c r="I28" i="3"/>
  <c r="I38" i="3"/>
  <c r="I43" i="3"/>
  <c r="L92" i="3"/>
  <c r="I149" i="3"/>
  <c r="AH228" i="3"/>
  <c r="AH229" i="3"/>
  <c r="AC229" i="3"/>
  <c r="F146" i="3"/>
  <c r="D146" i="3"/>
  <c r="AB205" i="3"/>
  <c r="AC212" i="3"/>
  <c r="AD212" i="3"/>
  <c r="AE212" i="3"/>
  <c r="AF212" i="3"/>
  <c r="AB212" i="3"/>
  <c r="Z130" i="3"/>
  <c r="Z16" i="3"/>
  <c r="Z144" i="3"/>
  <c r="X130" i="3"/>
  <c r="AC130" i="3"/>
  <c r="AH130" i="3"/>
  <c r="G292" i="3"/>
  <c r="I146" i="3"/>
  <c r="H68" i="3"/>
  <c r="N283" i="3"/>
  <c r="N235" i="3"/>
  <c r="H77" i="3"/>
  <c r="H78" i="3"/>
  <c r="H27" i="3"/>
  <c r="H28" i="3"/>
  <c r="Q289" i="3"/>
  <c r="S289" i="3"/>
  <c r="T289" i="3"/>
  <c r="U289" i="3"/>
  <c r="V289" i="3"/>
  <c r="X289" i="3"/>
  <c r="Y289" i="3"/>
  <c r="Z289" i="3"/>
  <c r="AA289" i="3"/>
  <c r="AC289" i="3"/>
  <c r="AD289" i="3"/>
  <c r="AE289" i="3"/>
  <c r="AF289" i="3"/>
  <c r="AH289" i="3"/>
  <c r="AI289" i="3"/>
  <c r="AJ289" i="3"/>
  <c r="AK289" i="3"/>
  <c r="N142" i="3"/>
  <c r="N59" i="3"/>
  <c r="Z231" i="3"/>
  <c r="X198" i="3"/>
  <c r="Y198" i="3"/>
  <c r="Z198" i="3"/>
  <c r="AA198" i="3"/>
  <c r="W198" i="3"/>
  <c r="S16" i="3"/>
  <c r="S144" i="3"/>
  <c r="W116" i="3"/>
  <c r="X194" i="3"/>
  <c r="Y194" i="3"/>
  <c r="Z194" i="3"/>
  <c r="AA194" i="3"/>
  <c r="W194" i="3"/>
  <c r="X211" i="3"/>
  <c r="Y211" i="3"/>
  <c r="Z211" i="3"/>
  <c r="AA211" i="3"/>
  <c r="W211" i="3"/>
  <c r="AK61" i="3"/>
  <c r="AK68" i="3"/>
  <c r="N145" i="3"/>
  <c r="AH205" i="3"/>
  <c r="AI205" i="3"/>
  <c r="AJ205" i="3"/>
  <c r="AK205" i="3"/>
  <c r="AL205" i="3"/>
  <c r="AG205" i="3"/>
  <c r="K146" i="3"/>
  <c r="AL83" i="3"/>
  <c r="O145" i="3"/>
  <c r="N91" i="3"/>
  <c r="N92" i="3"/>
  <c r="AH226" i="3"/>
  <c r="AH227" i="3"/>
  <c r="AC227" i="3"/>
  <c r="E151" i="3"/>
  <c r="H111" i="3"/>
  <c r="H112" i="3"/>
  <c r="D151" i="3"/>
  <c r="Y151" i="3"/>
  <c r="G146" i="3"/>
  <c r="Q189" i="3"/>
  <c r="L144" i="3"/>
  <c r="K149" i="3"/>
  <c r="K28" i="3"/>
  <c r="X218" i="3"/>
  <c r="Y218" i="3"/>
  <c r="Z218" i="3"/>
  <c r="AA218" i="3"/>
  <c r="W218" i="3"/>
  <c r="X203" i="3"/>
  <c r="Y203" i="3"/>
  <c r="Z203" i="3"/>
  <c r="AA203" i="3"/>
  <c r="W203" i="3"/>
  <c r="D28" i="3"/>
  <c r="D38" i="3"/>
  <c r="D43" i="3"/>
  <c r="X116" i="3"/>
  <c r="AI230" i="3"/>
  <c r="AI231" i="3"/>
  <c r="AD231" i="3"/>
  <c r="I151" i="3"/>
  <c r="AE229" i="3"/>
  <c r="AJ228" i="3"/>
  <c r="AJ229" i="3"/>
  <c r="H292" i="3"/>
  <c r="M57" i="3"/>
  <c r="L58" i="3"/>
  <c r="L59" i="3"/>
  <c r="H125" i="3"/>
  <c r="H126" i="3"/>
  <c r="AF116" i="3"/>
  <c r="AK116" i="3"/>
  <c r="S231" i="3"/>
  <c r="X230" i="3"/>
  <c r="AC230" i="3"/>
  <c r="AC231" i="3"/>
  <c r="AE230" i="3"/>
  <c r="AE231" i="3"/>
  <c r="AJ226" i="3"/>
  <c r="AJ227" i="3"/>
  <c r="AE227" i="3"/>
  <c r="T92" i="3"/>
  <c r="AE98" i="3"/>
  <c r="L143" i="3"/>
  <c r="Q82" i="3"/>
  <c r="U84" i="3"/>
  <c r="U90" i="3"/>
  <c r="P91" i="3"/>
  <c r="AD116" i="3"/>
  <c r="AE116" i="3"/>
  <c r="T16" i="3"/>
  <c r="Y65" i="3"/>
  <c r="AH292" i="3"/>
  <c r="AI292" i="3"/>
  <c r="AJ292" i="3"/>
  <c r="AK292" i="3"/>
  <c r="T35" i="3"/>
  <c r="U35" i="3"/>
  <c r="V35" i="3"/>
  <c r="X35" i="3"/>
  <c r="AK65" i="3"/>
  <c r="AF98" i="3"/>
  <c r="Q142" i="3"/>
  <c r="Q59" i="3"/>
  <c r="AE128" i="3"/>
  <c r="AJ128" i="3"/>
  <c r="AH98" i="3"/>
  <c r="S92" i="3"/>
  <c r="L145" i="3"/>
  <c r="AE101" i="3"/>
  <c r="S51" i="3"/>
  <c r="S57" i="3"/>
  <c r="N58" i="3"/>
  <c r="AI68" i="3"/>
  <c r="U110" i="3"/>
  <c r="AJ207" i="3"/>
  <c r="N100" i="3"/>
  <c r="N68" i="3"/>
  <c r="J28" i="3"/>
  <c r="J149" i="3"/>
  <c r="AF94" i="3"/>
  <c r="AG94" i="3"/>
  <c r="AG101" i="3"/>
  <c r="AD101" i="3"/>
  <c r="P142" i="3"/>
  <c r="R57" i="3"/>
  <c r="P59" i="3"/>
  <c r="P145" i="3"/>
  <c r="J126" i="3"/>
  <c r="H149" i="3"/>
  <c r="O144" i="3"/>
  <c r="S124" i="3"/>
  <c r="Q245" i="3"/>
  <c r="Q246" i="3"/>
  <c r="Q44" i="3"/>
  <c r="R44" i="3"/>
  <c r="O49" i="3"/>
  <c r="P49" i="3"/>
  <c r="AD229" i="3"/>
  <c r="AE130" i="3"/>
  <c r="X219" i="3"/>
  <c r="Y219" i="3"/>
  <c r="Z219" i="3"/>
  <c r="AA219" i="3"/>
  <c r="Q204" i="3"/>
  <c r="M102" i="3"/>
  <c r="M69" i="3"/>
  <c r="AA130" i="3"/>
  <c r="AA16" i="3"/>
  <c r="AA144" i="3"/>
  <c r="R206" i="3"/>
  <c r="V144" i="3"/>
  <c r="F150" i="3"/>
  <c r="V160" i="3"/>
  <c r="S206" i="3"/>
  <c r="T206" i="3"/>
  <c r="F151" i="3"/>
  <c r="AL61" i="3"/>
  <c r="AL68" i="3"/>
  <c r="E38" i="3"/>
  <c r="E43" i="3"/>
  <c r="AH94" i="3"/>
  <c r="AH101" i="3"/>
  <c r="I150" i="3"/>
  <c r="G28" i="3"/>
  <c r="G38" i="3"/>
  <c r="G43" i="3"/>
  <c r="L137" i="3"/>
  <c r="D150" i="3"/>
  <c r="X197" i="3"/>
  <c r="Y197" i="3"/>
  <c r="Z197" i="3"/>
  <c r="AA197" i="3"/>
  <c r="W197" i="3"/>
  <c r="W16" i="3"/>
  <c r="AH212" i="3"/>
  <c r="AI212" i="3"/>
  <c r="AJ212" i="3"/>
  <c r="AK212" i="3"/>
  <c r="AL212" i="3"/>
  <c r="AG212" i="3"/>
  <c r="Z151" i="3"/>
  <c r="AA151" i="3"/>
  <c r="W35" i="3"/>
  <c r="O283" i="3"/>
  <c r="O235" i="3"/>
  <c r="AJ230" i="3"/>
  <c r="AJ231" i="3"/>
  <c r="AC203" i="3"/>
  <c r="AD203" i="3"/>
  <c r="AE203" i="3"/>
  <c r="AF203" i="3"/>
  <c r="AB203" i="3"/>
  <c r="AC198" i="3"/>
  <c r="AD198" i="3"/>
  <c r="AE198" i="3"/>
  <c r="AF198" i="3"/>
  <c r="AB198" i="3"/>
  <c r="G149" i="3"/>
  <c r="T144" i="3"/>
  <c r="K151" i="3"/>
  <c r="E36" i="3"/>
  <c r="AC211" i="3"/>
  <c r="AD211" i="3"/>
  <c r="AE211" i="3"/>
  <c r="AF211" i="3"/>
  <c r="AB211" i="3"/>
  <c r="S61" i="3"/>
  <c r="O68" i="3"/>
  <c r="X16" i="3"/>
  <c r="X144" i="3"/>
  <c r="AC116" i="3"/>
  <c r="N67" i="3"/>
  <c r="AC194" i="3"/>
  <c r="AD194" i="3"/>
  <c r="AE194" i="3"/>
  <c r="AF194" i="3"/>
  <c r="AB194" i="3"/>
  <c r="P68" i="3"/>
  <c r="AB116" i="3"/>
  <c r="L142" i="3"/>
  <c r="AC218" i="3"/>
  <c r="AD218" i="3"/>
  <c r="AE218" i="3"/>
  <c r="AF218" i="3"/>
  <c r="AB218" i="3"/>
  <c r="F36" i="3"/>
  <c r="I154" i="3"/>
  <c r="X231" i="3"/>
  <c r="AH230" i="3"/>
  <c r="AH231" i="3"/>
  <c r="P283" i="3"/>
  <c r="P235" i="3"/>
  <c r="Q210" i="3"/>
  <c r="AB219" i="3"/>
  <c r="AC219" i="3"/>
  <c r="AD219" i="3"/>
  <c r="AE219" i="3"/>
  <c r="AF219" i="3"/>
  <c r="S189" i="3"/>
  <c r="R189" i="3"/>
  <c r="Q253" i="3"/>
  <c r="R253" i="3"/>
  <c r="D36" i="3"/>
  <c r="I36" i="3"/>
  <c r="K150" i="3"/>
  <c r="K38" i="3"/>
  <c r="K43" i="3"/>
  <c r="K154" i="3"/>
  <c r="AJ130" i="3"/>
  <c r="AI130" i="3"/>
  <c r="U92" i="3"/>
  <c r="S82" i="3"/>
  <c r="V84" i="3"/>
  <c r="V90" i="3"/>
  <c r="Q91" i="3"/>
  <c r="AJ98" i="3"/>
  <c r="AE16" i="3"/>
  <c r="AE144" i="3"/>
  <c r="J38" i="3"/>
  <c r="J43" i="3"/>
  <c r="J150" i="3"/>
  <c r="J151" i="3"/>
  <c r="Y35" i="3"/>
  <c r="Z35" i="3"/>
  <c r="AA35" i="3"/>
  <c r="AC35" i="3"/>
  <c r="R246" i="3"/>
  <c r="R245" i="3"/>
  <c r="AF101" i="3"/>
  <c r="AK98" i="3"/>
  <c r="O100" i="3"/>
  <c r="S14" i="3"/>
  <c r="S142" i="3"/>
  <c r="S59" i="3"/>
  <c r="S44" i="3"/>
  <c r="Y16" i="3"/>
  <c r="AD65" i="3"/>
  <c r="T124" i="3"/>
  <c r="S25" i="3"/>
  <c r="V110" i="3"/>
  <c r="Q233" i="3"/>
  <c r="M195" i="3"/>
  <c r="H38" i="3"/>
  <c r="H43" i="3"/>
  <c r="H150" i="3"/>
  <c r="Q192" i="3"/>
  <c r="AI116" i="3"/>
  <c r="Q145" i="3"/>
  <c r="H151" i="3"/>
  <c r="S204" i="3"/>
  <c r="Q256" i="3"/>
  <c r="R256" i="3"/>
  <c r="R204" i="3"/>
  <c r="AJ116" i="3"/>
  <c r="O58" i="3"/>
  <c r="T51" i="3"/>
  <c r="T57" i="3"/>
  <c r="T59" i="3"/>
  <c r="G150" i="3"/>
  <c r="AF130" i="3"/>
  <c r="AK130" i="3"/>
  <c r="S255" i="3"/>
  <c r="AI94" i="3"/>
  <c r="V162" i="3"/>
  <c r="W162" i="3"/>
  <c r="X160" i="3"/>
  <c r="J154" i="3"/>
  <c r="O67" i="3"/>
  <c r="G151" i="3"/>
  <c r="AB197" i="3"/>
  <c r="AC197" i="3"/>
  <c r="AD197" i="3"/>
  <c r="AE197" i="3"/>
  <c r="AF197" i="3"/>
  <c r="AC151" i="3"/>
  <c r="AD151" i="3"/>
  <c r="AB16" i="3"/>
  <c r="T61" i="3"/>
  <c r="U61" i="3"/>
  <c r="V61" i="3"/>
  <c r="I42" i="3"/>
  <c r="I41" i="3"/>
  <c r="S253" i="3"/>
  <c r="T189" i="3"/>
  <c r="D185" i="3"/>
  <c r="D285" i="3"/>
  <c r="F42" i="3"/>
  <c r="F41" i="3"/>
  <c r="I155" i="3"/>
  <c r="I291" i="3"/>
  <c r="AH194" i="3"/>
  <c r="AI194" i="3"/>
  <c r="AJ194" i="3"/>
  <c r="AK194" i="3"/>
  <c r="AL194" i="3"/>
  <c r="AG194" i="3"/>
  <c r="R61" i="3"/>
  <c r="U206" i="3"/>
  <c r="T255" i="3"/>
  <c r="AH218" i="3"/>
  <c r="AI218" i="3"/>
  <c r="AJ218" i="3"/>
  <c r="AK218" i="3"/>
  <c r="AL218" i="3"/>
  <c r="AG218" i="3"/>
  <c r="AH211" i="3"/>
  <c r="AI211" i="3"/>
  <c r="AJ211" i="3"/>
  <c r="AK211" i="3"/>
  <c r="AL211" i="3"/>
  <c r="AG211" i="3"/>
  <c r="AH198" i="3"/>
  <c r="AI198" i="3"/>
  <c r="AJ198" i="3"/>
  <c r="AK198" i="3"/>
  <c r="AL198" i="3"/>
  <c r="AG198" i="3"/>
  <c r="Q265" i="3"/>
  <c r="R265" i="3"/>
  <c r="Q235" i="3"/>
  <c r="S210" i="3"/>
  <c r="Q283" i="3"/>
  <c r="R210" i="3"/>
  <c r="R283" i="3"/>
  <c r="K36" i="3"/>
  <c r="AH219" i="3"/>
  <c r="AI219" i="3"/>
  <c r="AJ219" i="3"/>
  <c r="AK219" i="3"/>
  <c r="AL219" i="3"/>
  <c r="AG219" i="3"/>
  <c r="AC16" i="3"/>
  <c r="AC144" i="3"/>
  <c r="AG116" i="3"/>
  <c r="AH116" i="3"/>
  <c r="AL116" i="3"/>
  <c r="E41" i="3"/>
  <c r="E42" i="3"/>
  <c r="D42" i="3"/>
  <c r="D41" i="3"/>
  <c r="AH203" i="3"/>
  <c r="AI203" i="3"/>
  <c r="AJ203" i="3"/>
  <c r="AK203" i="3"/>
  <c r="AL203" i="3"/>
  <c r="AG203" i="3"/>
  <c r="S245" i="3"/>
  <c r="T82" i="3"/>
  <c r="X84" i="3"/>
  <c r="X90" i="3"/>
  <c r="S91" i="3"/>
  <c r="S192" i="3"/>
  <c r="R192" i="3"/>
  <c r="U124" i="3"/>
  <c r="T25" i="3"/>
  <c r="T245" i="3"/>
  <c r="T246" i="3"/>
  <c r="L139" i="3"/>
  <c r="L140" i="3"/>
  <c r="L138" i="3"/>
  <c r="V92" i="3"/>
  <c r="R50" i="3"/>
  <c r="Q68" i="3"/>
  <c r="L125" i="3"/>
  <c r="AI101" i="3"/>
  <c r="AJ94" i="3"/>
  <c r="AJ101" i="3"/>
  <c r="H36" i="3"/>
  <c r="S145" i="3"/>
  <c r="T44" i="3"/>
  <c r="L148" i="3"/>
  <c r="AD35" i="3"/>
  <c r="AE35" i="3"/>
  <c r="AF35" i="3"/>
  <c r="AH35" i="3"/>
  <c r="S68" i="3"/>
  <c r="S233" i="3"/>
  <c r="Y144" i="3"/>
  <c r="M148" i="3"/>
  <c r="AB35" i="3"/>
  <c r="J36" i="3"/>
  <c r="S256" i="3"/>
  <c r="T204" i="3"/>
  <c r="AI65" i="3"/>
  <c r="AD16" i="3"/>
  <c r="AD144" i="3"/>
  <c r="P100" i="3"/>
  <c r="T14" i="3"/>
  <c r="T142" i="3"/>
  <c r="Q158" i="3"/>
  <c r="S158" i="3"/>
  <c r="AJ16" i="3"/>
  <c r="AJ144" i="3"/>
  <c r="P67" i="3"/>
  <c r="X110" i="3"/>
  <c r="L111" i="3"/>
  <c r="G36" i="3"/>
  <c r="Q49" i="3"/>
  <c r="U51" i="3"/>
  <c r="U57" i="3"/>
  <c r="P58" i="3"/>
  <c r="Q236" i="3"/>
  <c r="L77" i="3"/>
  <c r="L78" i="3"/>
  <c r="AF16" i="3"/>
  <c r="AF144" i="3"/>
  <c r="N143" i="3"/>
  <c r="S159" i="3"/>
  <c r="T159" i="3"/>
  <c r="U159" i="3"/>
  <c r="V159" i="3"/>
  <c r="X159" i="3"/>
  <c r="X162" i="3"/>
  <c r="Y160" i="3"/>
  <c r="Q202" i="3"/>
  <c r="M28" i="3"/>
  <c r="AG35" i="3"/>
  <c r="AE151" i="3"/>
  <c r="AF151" i="3"/>
  <c r="AH197" i="3"/>
  <c r="AI197" i="3"/>
  <c r="AJ197" i="3"/>
  <c r="AK197" i="3"/>
  <c r="AL197" i="3"/>
  <c r="AG197" i="3"/>
  <c r="R68" i="3"/>
  <c r="K41" i="3"/>
  <c r="K42" i="3"/>
  <c r="D190" i="3"/>
  <c r="D199" i="3"/>
  <c r="D282" i="3"/>
  <c r="D284" i="3"/>
  <c r="K291" i="3"/>
  <c r="K155" i="3"/>
  <c r="E185" i="3"/>
  <c r="E285" i="3"/>
  <c r="AH16" i="3"/>
  <c r="AH144" i="3"/>
  <c r="O143" i="3"/>
  <c r="T145" i="3"/>
  <c r="T253" i="3"/>
  <c r="U189" i="3"/>
  <c r="T210" i="3"/>
  <c r="S235" i="3"/>
  <c r="S283" i="3"/>
  <c r="S265" i="3"/>
  <c r="T233" i="3"/>
  <c r="U233" i="3"/>
  <c r="U255" i="3"/>
  <c r="V206" i="3"/>
  <c r="AK16" i="3"/>
  <c r="AK144" i="3"/>
  <c r="M276" i="3"/>
  <c r="S246" i="3"/>
  <c r="U14" i="3"/>
  <c r="U142" i="3"/>
  <c r="U59" i="3"/>
  <c r="S93" i="3"/>
  <c r="R102" i="3"/>
  <c r="Q100" i="3"/>
  <c r="M187" i="3"/>
  <c r="U44" i="3"/>
  <c r="W61" i="3"/>
  <c r="S237" i="3"/>
  <c r="J42" i="3"/>
  <c r="J41" i="3"/>
  <c r="L126" i="3"/>
  <c r="M125" i="3"/>
  <c r="M126" i="3"/>
  <c r="AI16" i="3"/>
  <c r="G41" i="3"/>
  <c r="G42" i="3"/>
  <c r="M292" i="3"/>
  <c r="H42" i="3"/>
  <c r="H41" i="3"/>
  <c r="S153" i="3"/>
  <c r="R153" i="3"/>
  <c r="AK94" i="3"/>
  <c r="AK101" i="3"/>
  <c r="V51" i="3"/>
  <c r="V57" i="3"/>
  <c r="W57" i="3"/>
  <c r="S49" i="3"/>
  <c r="Q58" i="3"/>
  <c r="L112" i="3"/>
  <c r="M111" i="3"/>
  <c r="M112" i="3"/>
  <c r="U204" i="3"/>
  <c r="T256" i="3"/>
  <c r="M201" i="3"/>
  <c r="M209" i="3"/>
  <c r="M214" i="3"/>
  <c r="T192" i="3"/>
  <c r="Y110" i="3"/>
  <c r="J155" i="3"/>
  <c r="J291" i="3"/>
  <c r="N148" i="3"/>
  <c r="Q195" i="3"/>
  <c r="M188" i="3"/>
  <c r="U68" i="3"/>
  <c r="W50" i="3"/>
  <c r="V124" i="3"/>
  <c r="U25" i="3"/>
  <c r="U245" i="3"/>
  <c r="U246" i="3"/>
  <c r="X92" i="3"/>
  <c r="S60" i="3"/>
  <c r="Q67" i="3"/>
  <c r="S236" i="3"/>
  <c r="X61" i="3"/>
  <c r="Y61" i="3"/>
  <c r="AI35" i="3"/>
  <c r="AJ35" i="3"/>
  <c r="AK35" i="3"/>
  <c r="T68" i="3"/>
  <c r="U82" i="3"/>
  <c r="Y84" i="3"/>
  <c r="Y90" i="3"/>
  <c r="T91" i="3"/>
  <c r="T158" i="3"/>
  <c r="L146" i="3"/>
  <c r="M77" i="3"/>
  <c r="M78" i="3"/>
  <c r="O148" i="3"/>
  <c r="AG16" i="3"/>
  <c r="M149" i="3"/>
  <c r="AH151" i="3"/>
  <c r="AI151" i="3"/>
  <c r="AJ151" i="3"/>
  <c r="S40" i="3"/>
  <c r="T40" i="3"/>
  <c r="U40" i="3"/>
  <c r="V40" i="3"/>
  <c r="X40" i="3"/>
  <c r="Q257" i="3"/>
  <c r="R257" i="3"/>
  <c r="R202" i="3"/>
  <c r="Z160" i="3"/>
  <c r="Y162" i="3"/>
  <c r="AL94" i="3"/>
  <c r="AL101" i="3"/>
  <c r="AL16" i="3"/>
  <c r="V233" i="3"/>
  <c r="X233" i="3"/>
  <c r="AI144" i="3"/>
  <c r="D232" i="3"/>
  <c r="D222" i="3"/>
  <c r="F285" i="3"/>
  <c r="T283" i="3"/>
  <c r="T235" i="3"/>
  <c r="T265" i="3"/>
  <c r="U210" i="3"/>
  <c r="E152" i="3"/>
  <c r="E282" i="3"/>
  <c r="E284" i="3"/>
  <c r="E190" i="3"/>
  <c r="E199" i="3"/>
  <c r="U253" i="3"/>
  <c r="V189" i="3"/>
  <c r="AK151" i="3"/>
  <c r="V255" i="3"/>
  <c r="W255" i="3"/>
  <c r="W206" i="3"/>
  <c r="X206" i="3"/>
  <c r="U145" i="3"/>
  <c r="T49" i="3"/>
  <c r="S58" i="3"/>
  <c r="X124" i="3"/>
  <c r="V25" i="3"/>
  <c r="V245" i="3"/>
  <c r="V246" i="3"/>
  <c r="W246" i="3"/>
  <c r="V14" i="3"/>
  <c r="V142" i="3"/>
  <c r="V59" i="3"/>
  <c r="Q39" i="3"/>
  <c r="M150" i="3"/>
  <c r="T153" i="3"/>
  <c r="S31" i="3"/>
  <c r="Z110" i="3"/>
  <c r="Y92" i="3"/>
  <c r="AL35" i="3"/>
  <c r="T236" i="3"/>
  <c r="Y159" i="3"/>
  <c r="L28" i="3"/>
  <c r="L149" i="3"/>
  <c r="U158" i="3"/>
  <c r="V158" i="3"/>
  <c r="W68" i="3"/>
  <c r="T237" i="3"/>
  <c r="T93" i="3"/>
  <c r="S95" i="3"/>
  <c r="S97" i="3"/>
  <c r="S102" i="3"/>
  <c r="S100" i="3"/>
  <c r="T60" i="3"/>
  <c r="S62" i="3"/>
  <c r="S64" i="3"/>
  <c r="S67" i="3"/>
  <c r="Z61" i="3"/>
  <c r="V44" i="3"/>
  <c r="W44" i="3"/>
  <c r="P143" i="3"/>
  <c r="V68" i="3"/>
  <c r="V82" i="3"/>
  <c r="Z84" i="3"/>
  <c r="Z90" i="3"/>
  <c r="U91" i="3"/>
  <c r="S195" i="3"/>
  <c r="S244" i="3"/>
  <c r="Q143" i="3"/>
  <c r="R69" i="3"/>
  <c r="U192" i="3"/>
  <c r="Q244" i="3"/>
  <c r="R244" i="3"/>
  <c r="R195" i="3"/>
  <c r="U256" i="3"/>
  <c r="V204" i="3"/>
  <c r="P148" i="3"/>
  <c r="AA160" i="3"/>
  <c r="Z162" i="3"/>
  <c r="G282" i="3"/>
  <c r="G284" i="3"/>
  <c r="Y233" i="3"/>
  <c r="Z233" i="3"/>
  <c r="F190" i="3"/>
  <c r="F199" i="3"/>
  <c r="F282" i="3"/>
  <c r="F284" i="3"/>
  <c r="F152" i="3"/>
  <c r="W189" i="3"/>
  <c r="V253" i="3"/>
  <c r="W253" i="3"/>
  <c r="X189" i="3"/>
  <c r="E232" i="3"/>
  <c r="E222" i="3"/>
  <c r="Y206" i="3"/>
  <c r="X255" i="3"/>
  <c r="U265" i="3"/>
  <c r="U283" i="3"/>
  <c r="V210" i="3"/>
  <c r="U235" i="3"/>
  <c r="T195" i="3"/>
  <c r="T244" i="3"/>
  <c r="U49" i="3"/>
  <c r="T58" i="3"/>
  <c r="X158" i="3"/>
  <c r="W25" i="3"/>
  <c r="V145" i="3"/>
  <c r="Z159" i="3"/>
  <c r="AA159" i="3"/>
  <c r="Z92" i="3"/>
  <c r="Y68" i="3"/>
  <c r="S39" i="3"/>
  <c r="Q269" i="3"/>
  <c r="Y124" i="3"/>
  <c r="X25" i="3"/>
  <c r="X145" i="3"/>
  <c r="X82" i="3"/>
  <c r="AA84" i="3"/>
  <c r="AA90" i="3"/>
  <c r="V91" i="3"/>
  <c r="S15" i="3"/>
  <c r="S143" i="3"/>
  <c r="S69" i="3"/>
  <c r="I285" i="3"/>
  <c r="AA110" i="3"/>
  <c r="V192" i="3"/>
  <c r="U93" i="3"/>
  <c r="T95" i="3"/>
  <c r="T97" i="3"/>
  <c r="T102" i="3"/>
  <c r="T100" i="3"/>
  <c r="U236" i="3"/>
  <c r="V236" i="3"/>
  <c r="U153" i="3"/>
  <c r="T31" i="3"/>
  <c r="W245" i="3"/>
  <c r="M216" i="3"/>
  <c r="X44" i="3"/>
  <c r="U60" i="3"/>
  <c r="T62" i="3"/>
  <c r="T64" i="3"/>
  <c r="T67" i="3"/>
  <c r="V256" i="3"/>
  <c r="W256" i="3"/>
  <c r="X204" i="3"/>
  <c r="W204" i="3"/>
  <c r="X68" i="3"/>
  <c r="U237" i="3"/>
  <c r="L150" i="3"/>
  <c r="Y40" i="3"/>
  <c r="AA61" i="3"/>
  <c r="AB61" i="3"/>
  <c r="W14" i="3"/>
  <c r="H185" i="3"/>
  <c r="G285" i="3"/>
  <c r="AA162" i="3"/>
  <c r="AB162" i="3"/>
  <c r="AC160" i="3"/>
  <c r="H282" i="3"/>
  <c r="H284" i="3"/>
  <c r="H285" i="3"/>
  <c r="H190" i="3"/>
  <c r="H199" i="3"/>
  <c r="H232" i="3"/>
  <c r="G222" i="3"/>
  <c r="V265" i="3"/>
  <c r="W265" i="3"/>
  <c r="X210" i="3"/>
  <c r="V283" i="3"/>
  <c r="V235" i="3"/>
  <c r="W210" i="3"/>
  <c r="Y189" i="3"/>
  <c r="X253" i="3"/>
  <c r="Z206" i="3"/>
  <c r="Y255" i="3"/>
  <c r="F232" i="3"/>
  <c r="F222" i="3"/>
  <c r="R148" i="3"/>
  <c r="U195" i="3"/>
  <c r="U244" i="3"/>
  <c r="X236" i="3"/>
  <c r="AA92" i="3"/>
  <c r="Y44" i="3"/>
  <c r="V153" i="3"/>
  <c r="U31" i="3"/>
  <c r="V237" i="3"/>
  <c r="T39" i="3"/>
  <c r="S269" i="3"/>
  <c r="R269" i="3"/>
  <c r="X256" i="3"/>
  <c r="Y204" i="3"/>
  <c r="Y82" i="3"/>
  <c r="AC84" i="3"/>
  <c r="AC90" i="3"/>
  <c r="X91" i="3"/>
  <c r="V93" i="3"/>
  <c r="U95" i="3"/>
  <c r="U97" i="3"/>
  <c r="U102" i="3"/>
  <c r="U100" i="3"/>
  <c r="AC159" i="3"/>
  <c r="AD159" i="3"/>
  <c r="T15" i="3"/>
  <c r="T17" i="3"/>
  <c r="T69" i="3"/>
  <c r="X192" i="3"/>
  <c r="W192" i="3"/>
  <c r="I282" i="3"/>
  <c r="I284" i="3"/>
  <c r="S17" i="3"/>
  <c r="N137" i="3"/>
  <c r="Y158" i="3"/>
  <c r="V49" i="3"/>
  <c r="U58" i="3"/>
  <c r="V195" i="3"/>
  <c r="Q261" i="3"/>
  <c r="R261" i="3"/>
  <c r="R292" i="3"/>
  <c r="Q248" i="3"/>
  <c r="R248" i="3"/>
  <c r="Q187" i="3"/>
  <c r="Q148" i="3"/>
  <c r="AC110" i="3"/>
  <c r="X245" i="3"/>
  <c r="AA233" i="3"/>
  <c r="AC233" i="3"/>
  <c r="Z40" i="3"/>
  <c r="AA40" i="3"/>
  <c r="V60" i="3"/>
  <c r="U62" i="3"/>
  <c r="U64" i="3"/>
  <c r="U67" i="3"/>
  <c r="J285" i="3"/>
  <c r="Z124" i="3"/>
  <c r="Y25" i="3"/>
  <c r="Y245" i="3"/>
  <c r="Y246" i="3"/>
  <c r="Z68" i="3"/>
  <c r="AD160" i="3"/>
  <c r="AC162" i="3"/>
  <c r="AC40" i="3"/>
  <c r="H222" i="3"/>
  <c r="O137" i="3"/>
  <c r="Z189" i="3"/>
  <c r="Y253" i="3"/>
  <c r="W283" i="3"/>
  <c r="W235" i="3"/>
  <c r="Y145" i="3"/>
  <c r="T143" i="3"/>
  <c r="AA206" i="3"/>
  <c r="Z255" i="3"/>
  <c r="X265" i="3"/>
  <c r="X235" i="3"/>
  <c r="X283" i="3"/>
  <c r="Y210" i="3"/>
  <c r="AE159" i="3"/>
  <c r="AF159" i="3"/>
  <c r="X195" i="3"/>
  <c r="X244" i="3"/>
  <c r="N111" i="3"/>
  <c r="U69" i="3"/>
  <c r="U15" i="3"/>
  <c r="U143" i="3"/>
  <c r="U39" i="3"/>
  <c r="T269" i="3"/>
  <c r="X153" i="3"/>
  <c r="V31" i="3"/>
  <c r="W31" i="3"/>
  <c r="W153" i="3"/>
  <c r="K285" i="3"/>
  <c r="X60" i="3"/>
  <c r="V62" i="3"/>
  <c r="V64" i="3"/>
  <c r="V67" i="3"/>
  <c r="Z82" i="3"/>
  <c r="AD84" i="3"/>
  <c r="AD90" i="3"/>
  <c r="Y91" i="3"/>
  <c r="Y236" i="3"/>
  <c r="Q251" i="3"/>
  <c r="R251" i="3"/>
  <c r="R187" i="3"/>
  <c r="AC92" i="3"/>
  <c r="AA124" i="3"/>
  <c r="Z25" i="3"/>
  <c r="Z145" i="3"/>
  <c r="I222" i="3"/>
  <c r="AD110" i="3"/>
  <c r="X49" i="3"/>
  <c r="V58" i="3"/>
  <c r="T261" i="3"/>
  <c r="T248" i="3"/>
  <c r="T187" i="3"/>
  <c r="T148" i="3"/>
  <c r="Z44" i="3"/>
  <c r="N125" i="3"/>
  <c r="S261" i="3"/>
  <c r="S248" i="3"/>
  <c r="S187" i="3"/>
  <c r="S251" i="3"/>
  <c r="S148" i="3"/>
  <c r="Q271" i="3"/>
  <c r="X237" i="3"/>
  <c r="Z158" i="3"/>
  <c r="Y256" i="3"/>
  <c r="Z204" i="3"/>
  <c r="X246" i="3"/>
  <c r="X93" i="3"/>
  <c r="V95" i="3"/>
  <c r="V97" i="3"/>
  <c r="V102" i="3"/>
  <c r="V100" i="3"/>
  <c r="V244" i="3"/>
  <c r="W244" i="3"/>
  <c r="W195" i="3"/>
  <c r="N77" i="3"/>
  <c r="J282" i="3"/>
  <c r="J284" i="3"/>
  <c r="AD233" i="3"/>
  <c r="AE233" i="3"/>
  <c r="N139" i="3"/>
  <c r="N140" i="3"/>
  <c r="N138" i="3"/>
  <c r="Y192" i="3"/>
  <c r="AE160" i="3"/>
  <c r="AD162" i="3"/>
  <c r="AD40" i="3"/>
  <c r="Y265" i="3"/>
  <c r="Z210" i="3"/>
  <c r="Y235" i="3"/>
  <c r="Y283" i="3"/>
  <c r="AH159" i="3"/>
  <c r="AI159" i="3"/>
  <c r="AJ159" i="3"/>
  <c r="AK159" i="3"/>
  <c r="AA68" i="3"/>
  <c r="AB50" i="3"/>
  <c r="AB68" i="3"/>
  <c r="AA255" i="3"/>
  <c r="AB255" i="3"/>
  <c r="AB206" i="3"/>
  <c r="AC206" i="3"/>
  <c r="AA189" i="3"/>
  <c r="Z253" i="3"/>
  <c r="AF233" i="3"/>
  <c r="AH233" i="3"/>
  <c r="AI233" i="3"/>
  <c r="AD92" i="3"/>
  <c r="AA204" i="3"/>
  <c r="Z256" i="3"/>
  <c r="AA44" i="3"/>
  <c r="AB44" i="3"/>
  <c r="AA82" i="3"/>
  <c r="AE84" i="3"/>
  <c r="AE90" i="3"/>
  <c r="Z91" i="3"/>
  <c r="Q216" i="3"/>
  <c r="Y49" i="3"/>
  <c r="X51" i="3"/>
  <c r="X57" i="3"/>
  <c r="S202" i="3"/>
  <c r="S257" i="3"/>
  <c r="N146" i="3"/>
  <c r="O139" i="3"/>
  <c r="O140" i="3"/>
  <c r="O138" i="3"/>
  <c r="V15" i="3"/>
  <c r="V17" i="3"/>
  <c r="V69" i="3"/>
  <c r="AE110" i="3"/>
  <c r="Y195" i="3"/>
  <c r="Y244" i="3"/>
  <c r="Y60" i="3"/>
  <c r="X62" i="3"/>
  <c r="X64" i="3"/>
  <c r="X67" i="3"/>
  <c r="Z236" i="3"/>
  <c r="N126" i="3"/>
  <c r="N112" i="3"/>
  <c r="AC124" i="3"/>
  <c r="AA25" i="3"/>
  <c r="AA245" i="3"/>
  <c r="AA246" i="3"/>
  <c r="Z192" i="3"/>
  <c r="AA158" i="3"/>
  <c r="AC158" i="3"/>
  <c r="T251" i="3"/>
  <c r="S152" i="3"/>
  <c r="T152" i="3"/>
  <c r="U152" i="3"/>
  <c r="V152" i="3"/>
  <c r="X152" i="3"/>
  <c r="Y152" i="3"/>
  <c r="Z152" i="3"/>
  <c r="AA152" i="3"/>
  <c r="AC152" i="3"/>
  <c r="AD152" i="3"/>
  <c r="AE152" i="3"/>
  <c r="AF152" i="3"/>
  <c r="AH152" i="3"/>
  <c r="AI152" i="3"/>
  <c r="AJ152" i="3"/>
  <c r="AK152" i="3"/>
  <c r="K282" i="3"/>
  <c r="K284" i="3"/>
  <c r="C326" i="3"/>
  <c r="V39" i="3"/>
  <c r="U269" i="3"/>
  <c r="Y153" i="3"/>
  <c r="X31" i="3"/>
  <c r="J222" i="3"/>
  <c r="S271" i="3"/>
  <c r="Q273" i="3"/>
  <c r="N78" i="3"/>
  <c r="X95" i="3"/>
  <c r="X97" i="3"/>
  <c r="X102" i="3"/>
  <c r="Y93" i="3"/>
  <c r="X100" i="3"/>
  <c r="U17" i="3"/>
  <c r="Y237" i="3"/>
  <c r="Z237" i="3"/>
  <c r="W102" i="3"/>
  <c r="R271" i="3"/>
  <c r="R273" i="3"/>
  <c r="Z245" i="3"/>
  <c r="AF160" i="3"/>
  <c r="AE162" i="3"/>
  <c r="AE40" i="3"/>
  <c r="AB25" i="3"/>
  <c r="V143" i="3"/>
  <c r="W15" i="3"/>
  <c r="W17" i="3"/>
  <c r="W148" i="3"/>
  <c r="AC189" i="3"/>
  <c r="AA253" i="3"/>
  <c r="AB253" i="3"/>
  <c r="AB189" i="3"/>
  <c r="AD206" i="3"/>
  <c r="AC255" i="3"/>
  <c r="Z265" i="3"/>
  <c r="AA210" i="3"/>
  <c r="Z235" i="3"/>
  <c r="Z283" i="3"/>
  <c r="AA237" i="3"/>
  <c r="AC237" i="3"/>
  <c r="T271" i="3"/>
  <c r="S273" i="3"/>
  <c r="Q193" i="3"/>
  <c r="AC82" i="3"/>
  <c r="AF84" i="3"/>
  <c r="AF90" i="3"/>
  <c r="AA91" i="3"/>
  <c r="AF110" i="3"/>
  <c r="U261" i="3"/>
  <c r="U248" i="3"/>
  <c r="U187" i="3"/>
  <c r="U251" i="3"/>
  <c r="U148" i="3"/>
  <c r="X39" i="3"/>
  <c r="V269" i="3"/>
  <c r="W269" i="3"/>
  <c r="Z195" i="3"/>
  <c r="Z244" i="3"/>
  <c r="AA236" i="3"/>
  <c r="V261" i="3"/>
  <c r="V248" i="3"/>
  <c r="V187" i="3"/>
  <c r="V148" i="3"/>
  <c r="AC44" i="3"/>
  <c r="AD124" i="3"/>
  <c r="AC25" i="3"/>
  <c r="X14" i="3"/>
  <c r="X142" i="3"/>
  <c r="X58" i="3"/>
  <c r="X59" i="3"/>
  <c r="AA192" i="3"/>
  <c r="W69" i="3"/>
  <c r="AE92" i="3"/>
  <c r="Z93" i="3"/>
  <c r="Y95" i="3"/>
  <c r="Y97" i="3"/>
  <c r="Y102" i="3"/>
  <c r="Y100" i="3"/>
  <c r="Z153" i="3"/>
  <c r="Y31" i="3"/>
  <c r="K222" i="3"/>
  <c r="X69" i="3"/>
  <c r="X15" i="3"/>
  <c r="X143" i="3"/>
  <c r="S216" i="3"/>
  <c r="R216" i="3"/>
  <c r="AC204" i="3"/>
  <c r="AA256" i="3"/>
  <c r="AB256" i="3"/>
  <c r="AB204" i="3"/>
  <c r="AJ233" i="3"/>
  <c r="AK233" i="3"/>
  <c r="Z49" i="3"/>
  <c r="Y51" i="3"/>
  <c r="Y57" i="3"/>
  <c r="Z246" i="3"/>
  <c r="AB246" i="3"/>
  <c r="AB245" i="3"/>
  <c r="AA145" i="3"/>
  <c r="Y62" i="3"/>
  <c r="Y64" i="3"/>
  <c r="Z60" i="3"/>
  <c r="Y67" i="3"/>
  <c r="N28" i="3"/>
  <c r="N149" i="3"/>
  <c r="AD158" i="3"/>
  <c r="AE158" i="3"/>
  <c r="AF162" i="3"/>
  <c r="AG162" i="3"/>
  <c r="AH160" i="3"/>
  <c r="AA265" i="3"/>
  <c r="AB265" i="3"/>
  <c r="AA235" i="3"/>
  <c r="AB210" i="3"/>
  <c r="AB283" i="3"/>
  <c r="AA283" i="3"/>
  <c r="AC210" i="3"/>
  <c r="W248" i="3"/>
  <c r="R243" i="3"/>
  <c r="AE206" i="3"/>
  <c r="AD255" i="3"/>
  <c r="AD189" i="3"/>
  <c r="AC253" i="3"/>
  <c r="R193" i="3"/>
  <c r="S243" i="3"/>
  <c r="S193" i="3"/>
  <c r="N150" i="3"/>
  <c r="U271" i="3"/>
  <c r="T273" i="3"/>
  <c r="AA49" i="3"/>
  <c r="Z51" i="3"/>
  <c r="Z57" i="3"/>
  <c r="V251" i="3"/>
  <c r="W251" i="3"/>
  <c r="W187" i="3"/>
  <c r="AF92" i="3"/>
  <c r="AF158" i="3"/>
  <c r="T216" i="3"/>
  <c r="AC192" i="3"/>
  <c r="AB192" i="3"/>
  <c r="O125" i="3"/>
  <c r="AE124" i="3"/>
  <c r="AD25" i="3"/>
  <c r="AD245" i="3"/>
  <c r="AD246" i="3"/>
  <c r="Y39" i="3"/>
  <c r="X269" i="3"/>
  <c r="W261" i="3"/>
  <c r="W292" i="3"/>
  <c r="AH84" i="3"/>
  <c r="AH90" i="3"/>
  <c r="AD82" i="3"/>
  <c r="AC91" i="3"/>
  <c r="AA195" i="3"/>
  <c r="AC236" i="3"/>
  <c r="AD236" i="3"/>
  <c r="AC245" i="3"/>
  <c r="O77" i="3"/>
  <c r="P137" i="3"/>
  <c r="AA93" i="3"/>
  <c r="Z95" i="3"/>
  <c r="Z97" i="3"/>
  <c r="Z102" i="3"/>
  <c r="Z100" i="3"/>
  <c r="Y15" i="3"/>
  <c r="Y69" i="3"/>
  <c r="AD204" i="3"/>
  <c r="AC256" i="3"/>
  <c r="AA153" i="3"/>
  <c r="Z31" i="3"/>
  <c r="AD44" i="3"/>
  <c r="O111" i="3"/>
  <c r="X17" i="3"/>
  <c r="AC145" i="3"/>
  <c r="Z62" i="3"/>
  <c r="Z64" i="3"/>
  <c r="AA60" i="3"/>
  <c r="Z67" i="3"/>
  <c r="Y14" i="3"/>
  <c r="Y142" i="3"/>
  <c r="Y58" i="3"/>
  <c r="Y59" i="3"/>
  <c r="AD237" i="3"/>
  <c r="AE237" i="3"/>
  <c r="AH110" i="3"/>
  <c r="AI160" i="3"/>
  <c r="AH162" i="3"/>
  <c r="AF40" i="3"/>
  <c r="AE189" i="3"/>
  <c r="AD253" i="3"/>
  <c r="AF206" i="3"/>
  <c r="AE255" i="3"/>
  <c r="AD210" i="3"/>
  <c r="AC235" i="3"/>
  <c r="AC283" i="3"/>
  <c r="AC265" i="3"/>
  <c r="AF237" i="3"/>
  <c r="AH237" i="3"/>
  <c r="S134" i="3"/>
  <c r="Q137" i="3"/>
  <c r="U216" i="3"/>
  <c r="S120" i="3"/>
  <c r="O112" i="3"/>
  <c r="O78" i="3"/>
  <c r="AI84" i="3"/>
  <c r="AI90" i="3"/>
  <c r="AE82" i="3"/>
  <c r="AD91" i="3"/>
  <c r="AF124" i="3"/>
  <c r="AE25" i="3"/>
  <c r="Y17" i="3"/>
  <c r="AC153" i="3"/>
  <c r="AA31" i="3"/>
  <c r="AB31" i="3"/>
  <c r="AB153" i="3"/>
  <c r="Y143" i="3"/>
  <c r="AH92" i="3"/>
  <c r="O126" i="3"/>
  <c r="S106" i="3"/>
  <c r="S73" i="3"/>
  <c r="AC60" i="3"/>
  <c r="AA62" i="3"/>
  <c r="AA64" i="3"/>
  <c r="AA67" i="3"/>
  <c r="AD256" i="3"/>
  <c r="AE204" i="3"/>
  <c r="AC246" i="3"/>
  <c r="Z14" i="3"/>
  <c r="Z58" i="3"/>
  <c r="Z59" i="3"/>
  <c r="AI110" i="3"/>
  <c r="AC93" i="3"/>
  <c r="AA95" i="3"/>
  <c r="AA97" i="3"/>
  <c r="AA102" i="3"/>
  <c r="AA100" i="3"/>
  <c r="AD195" i="3"/>
  <c r="T243" i="3"/>
  <c r="T193" i="3"/>
  <c r="AE44" i="3"/>
  <c r="AE236" i="3"/>
  <c r="AC195" i="3"/>
  <c r="AC244" i="3"/>
  <c r="AD192" i="3"/>
  <c r="AH158" i="3"/>
  <c r="T202" i="3"/>
  <c r="T257" i="3"/>
  <c r="O146" i="3"/>
  <c r="Z69" i="3"/>
  <c r="Z15" i="3"/>
  <c r="Z39" i="3"/>
  <c r="Y269" i="3"/>
  <c r="AC49" i="3"/>
  <c r="AA51" i="3"/>
  <c r="AA57" i="3"/>
  <c r="AB57" i="3"/>
  <c r="X261" i="3"/>
  <c r="X248" i="3"/>
  <c r="X187" i="3"/>
  <c r="X251" i="3"/>
  <c r="X148" i="3"/>
  <c r="P139" i="3"/>
  <c r="P140" i="3"/>
  <c r="P138" i="3"/>
  <c r="AA244" i="3"/>
  <c r="AB244" i="3"/>
  <c r="AB195" i="3"/>
  <c r="AD145" i="3"/>
  <c r="V271" i="3"/>
  <c r="U273" i="3"/>
  <c r="AH40" i="3"/>
  <c r="AI162" i="3"/>
  <c r="AJ160" i="3"/>
  <c r="AD265" i="3"/>
  <c r="AD283" i="3"/>
  <c r="AE210" i="3"/>
  <c r="AD235" i="3"/>
  <c r="AG206" i="3"/>
  <c r="AH206" i="3"/>
  <c r="AF255" i="3"/>
  <c r="AG255" i="3"/>
  <c r="AF189" i="3"/>
  <c r="AE253" i="3"/>
  <c r="AE192" i="3"/>
  <c r="AF44" i="3"/>
  <c r="AG44" i="3"/>
  <c r="Z17" i="3"/>
  <c r="AD60" i="3"/>
  <c r="AC62" i="3"/>
  <c r="AC64" i="3"/>
  <c r="AC67" i="3"/>
  <c r="Z143" i="3"/>
  <c r="AD93" i="3"/>
  <c r="AC95" i="3"/>
  <c r="AC97" i="3"/>
  <c r="AC102" i="3"/>
  <c r="AC100" i="3"/>
  <c r="AJ110" i="3"/>
  <c r="AD153" i="3"/>
  <c r="AC31" i="3"/>
  <c r="V216" i="3"/>
  <c r="Q232" i="3"/>
  <c r="AA14" i="3"/>
  <c r="AA142" i="3"/>
  <c r="AA58" i="3"/>
  <c r="AA59" i="3"/>
  <c r="O149" i="3"/>
  <c r="T106" i="3"/>
  <c r="Q139" i="3"/>
  <c r="Q140" i="3"/>
  <c r="Q138" i="3"/>
  <c r="L38" i="3"/>
  <c r="L43" i="3"/>
  <c r="X271" i="3"/>
  <c r="W271" i="3"/>
  <c r="W273" i="3"/>
  <c r="V273" i="3"/>
  <c r="AC51" i="3"/>
  <c r="AC57" i="3"/>
  <c r="AD49" i="3"/>
  <c r="Y261" i="3"/>
  <c r="Y248" i="3"/>
  <c r="Y187" i="3"/>
  <c r="Y251" i="3"/>
  <c r="Y148" i="3"/>
  <c r="T134" i="3"/>
  <c r="S137" i="3"/>
  <c r="U243" i="3"/>
  <c r="U193" i="3"/>
  <c r="AE195" i="3"/>
  <c r="AE244" i="3"/>
  <c r="AF236" i="3"/>
  <c r="AE245" i="3"/>
  <c r="T73" i="3"/>
  <c r="S21" i="3"/>
  <c r="L36" i="3"/>
  <c r="AI237" i="3"/>
  <c r="AF204" i="3"/>
  <c r="AE256" i="3"/>
  <c r="AD244" i="3"/>
  <c r="AA39" i="3"/>
  <c r="Z269" i="3"/>
  <c r="AI158" i="3"/>
  <c r="AJ158" i="3"/>
  <c r="AB102" i="3"/>
  <c r="Z142" i="3"/>
  <c r="AA15" i="3"/>
  <c r="AB15" i="3"/>
  <c r="AA69" i="3"/>
  <c r="AE145" i="3"/>
  <c r="AF82" i="3"/>
  <c r="AJ84" i="3"/>
  <c r="AJ90" i="3"/>
  <c r="AE91" i="3"/>
  <c r="T120" i="3"/>
  <c r="AH124" i="3"/>
  <c r="AF25" i="3"/>
  <c r="AF245" i="3"/>
  <c r="AF246" i="3"/>
  <c r="AI92" i="3"/>
  <c r="AI40" i="3"/>
  <c r="AJ162" i="3"/>
  <c r="AK160" i="3"/>
  <c r="AK162" i="3"/>
  <c r="AA143" i="3"/>
  <c r="U106" i="3"/>
  <c r="AF210" i="3"/>
  <c r="AE235" i="3"/>
  <c r="AE283" i="3"/>
  <c r="AE265" i="3"/>
  <c r="AF253" i="3"/>
  <c r="AG253" i="3"/>
  <c r="AH189" i="3"/>
  <c r="AG189" i="3"/>
  <c r="AH255" i="3"/>
  <c r="AI206" i="3"/>
  <c r="V243" i="3"/>
  <c r="W243" i="3"/>
  <c r="AK110" i="3"/>
  <c r="AC39" i="3"/>
  <c r="AA269" i="3"/>
  <c r="AB269" i="3"/>
  <c r="AF195" i="3"/>
  <c r="AH236" i="3"/>
  <c r="AH195" i="3"/>
  <c r="AC14" i="3"/>
  <c r="AC142" i="3"/>
  <c r="AC59" i="3"/>
  <c r="AC58" i="3"/>
  <c r="AA17" i="3"/>
  <c r="AB14" i="3"/>
  <c r="AB17" i="3"/>
  <c r="AF192" i="3"/>
  <c r="AK158" i="3"/>
  <c r="AK84" i="3"/>
  <c r="AK90" i="3"/>
  <c r="AH82" i="3"/>
  <c r="AF91" i="3"/>
  <c r="AD62" i="3"/>
  <c r="AD64" i="3"/>
  <c r="AE60" i="3"/>
  <c r="AD67" i="3"/>
  <c r="AJ237" i="3"/>
  <c r="AK237" i="3"/>
  <c r="U73" i="3"/>
  <c r="T21" i="3"/>
  <c r="S138" i="3"/>
  <c r="S139" i="3"/>
  <c r="S140" i="3"/>
  <c r="P111" i="3"/>
  <c r="AE93" i="3"/>
  <c r="AD95" i="3"/>
  <c r="AD97" i="3"/>
  <c r="AD102" i="3"/>
  <c r="AD100" i="3"/>
  <c r="AB69" i="3"/>
  <c r="P77" i="3"/>
  <c r="M36" i="3"/>
  <c r="AF145" i="3"/>
  <c r="L42" i="3"/>
  <c r="L41" i="3"/>
  <c r="M38" i="3"/>
  <c r="X216" i="3"/>
  <c r="W216" i="3"/>
  <c r="Z261" i="3"/>
  <c r="Z248" i="3"/>
  <c r="Z187" i="3"/>
  <c r="Z251" i="3"/>
  <c r="Z148" i="3"/>
  <c r="AE49" i="3"/>
  <c r="AD51" i="3"/>
  <c r="AD57" i="3"/>
  <c r="U120" i="3"/>
  <c r="AG25" i="3"/>
  <c r="U134" i="3"/>
  <c r="T137" i="3"/>
  <c r="S232" i="3"/>
  <c r="T232" i="3"/>
  <c r="L154" i="3"/>
  <c r="AI124" i="3"/>
  <c r="AH25" i="3"/>
  <c r="AH145" i="3"/>
  <c r="AE246" i="3"/>
  <c r="AG246" i="3"/>
  <c r="AG245" i="3"/>
  <c r="O28" i="3"/>
  <c r="AH44" i="3"/>
  <c r="AJ92" i="3"/>
  <c r="AF256" i="3"/>
  <c r="AG256" i="3"/>
  <c r="AH204" i="3"/>
  <c r="AG204" i="3"/>
  <c r="P125" i="3"/>
  <c r="Y271" i="3"/>
  <c r="X273" i="3"/>
  <c r="AE153" i="3"/>
  <c r="AD31" i="3"/>
  <c r="AC15" i="3"/>
  <c r="AC69" i="3"/>
  <c r="AJ40" i="3"/>
  <c r="AK40" i="3"/>
  <c r="AL162" i="3"/>
  <c r="V193" i="3"/>
  <c r="W193" i="3"/>
  <c r="X243" i="3"/>
  <c r="AH244" i="3"/>
  <c r="V106" i="3"/>
  <c r="AI189" i="3"/>
  <c r="AH253" i="3"/>
  <c r="AI255" i="3"/>
  <c r="AJ206" i="3"/>
  <c r="AH210" i="3"/>
  <c r="AF235" i="3"/>
  <c r="AG210" i="3"/>
  <c r="AG283" i="3"/>
  <c r="AF283" i="3"/>
  <c r="AF265" i="3"/>
  <c r="AG265" i="3"/>
  <c r="AH256" i="3"/>
  <c r="AI204" i="3"/>
  <c r="O150" i="3"/>
  <c r="P112" i="3"/>
  <c r="L278" i="3"/>
  <c r="L155" i="3"/>
  <c r="L291" i="3"/>
  <c r="AC143" i="3"/>
  <c r="Z271" i="3"/>
  <c r="Y273" i="3"/>
  <c r="AJ124" i="3"/>
  <c r="AI25" i="3"/>
  <c r="AI245" i="3"/>
  <c r="AI246" i="3"/>
  <c r="M217" i="3"/>
  <c r="M220" i="3"/>
  <c r="M221" i="3"/>
  <c r="AC17" i="3"/>
  <c r="AD14" i="3"/>
  <c r="AD142" i="3"/>
  <c r="AD59" i="3"/>
  <c r="AD58" i="3"/>
  <c r="AF93" i="3"/>
  <c r="AE95" i="3"/>
  <c r="AE97" i="3"/>
  <c r="AE102" i="3"/>
  <c r="AE100" i="3"/>
  <c r="AH192" i="3"/>
  <c r="AG192" i="3"/>
  <c r="AB148" i="3"/>
  <c r="U232" i="3"/>
  <c r="M291" i="3"/>
  <c r="M155" i="3"/>
  <c r="AD15" i="3"/>
  <c r="AD69" i="3"/>
  <c r="AF244" i="3"/>
  <c r="AG244" i="3"/>
  <c r="AG195" i="3"/>
  <c r="T138" i="3"/>
  <c r="T139" i="3"/>
  <c r="T140" i="3"/>
  <c r="P126" i="3"/>
  <c r="V134" i="3"/>
  <c r="U137" i="3"/>
  <c r="AF49" i="3"/>
  <c r="AE51" i="3"/>
  <c r="AE57" i="3"/>
  <c r="M39" i="3"/>
  <c r="M41" i="3"/>
  <c r="M40" i="3"/>
  <c r="M42" i="3"/>
  <c r="AF60" i="3"/>
  <c r="AE62" i="3"/>
  <c r="AE64" i="3"/>
  <c r="AE67" i="3"/>
  <c r="AA261" i="3"/>
  <c r="AB261" i="3"/>
  <c r="AB292" i="3"/>
  <c r="AA187" i="3"/>
  <c r="AA248" i="3"/>
  <c r="AB248" i="3"/>
  <c r="AA148" i="3"/>
  <c r="AF153" i="3"/>
  <c r="AE31" i="3"/>
  <c r="AI44" i="3"/>
  <c r="V120" i="3"/>
  <c r="Y216" i="3"/>
  <c r="P78" i="3"/>
  <c r="V73" i="3"/>
  <c r="U21" i="3"/>
  <c r="AI82" i="3"/>
  <c r="AH91" i="3"/>
  <c r="AI236" i="3"/>
  <c r="AI195" i="3"/>
  <c r="AI244" i="3"/>
  <c r="U202" i="3"/>
  <c r="U257" i="3"/>
  <c r="P146" i="3"/>
  <c r="AH245" i="3"/>
  <c r="F278" i="3"/>
  <c r="E278" i="3"/>
  <c r="D278" i="3"/>
  <c r="K278" i="3"/>
  <c r="I278" i="3"/>
  <c r="G278" i="3"/>
  <c r="J278" i="3"/>
  <c r="AK92" i="3"/>
  <c r="AD39" i="3"/>
  <c r="AC269" i="3"/>
  <c r="X193" i="3"/>
  <c r="Y243" i="3"/>
  <c r="M43" i="3"/>
  <c r="M154" i="3"/>
  <c r="AI210" i="3"/>
  <c r="AH283" i="3"/>
  <c r="AH265" i="3"/>
  <c r="AH235" i="3"/>
  <c r="AJ255" i="3"/>
  <c r="AK206" i="3"/>
  <c r="X106" i="3"/>
  <c r="AJ236" i="3"/>
  <c r="AJ195" i="3"/>
  <c r="AJ244" i="3"/>
  <c r="AI253" i="3"/>
  <c r="AJ189" i="3"/>
  <c r="P28" i="3"/>
  <c r="H278" i="3"/>
  <c r="AH60" i="3"/>
  <c r="AF62" i="3"/>
  <c r="AF64" i="3"/>
  <c r="AF67" i="3"/>
  <c r="AI192" i="3"/>
  <c r="V232" i="3"/>
  <c r="X232" i="3"/>
  <c r="Y232" i="3"/>
  <c r="Z232" i="3"/>
  <c r="L234" i="3"/>
  <c r="AK124" i="3"/>
  <c r="AJ25" i="3"/>
  <c r="AJ245" i="3"/>
  <c r="AJ246" i="3"/>
  <c r="L156" i="3"/>
  <c r="AI256" i="3"/>
  <c r="AJ204" i="3"/>
  <c r="J156" i="3"/>
  <c r="AJ44" i="3"/>
  <c r="AD143" i="3"/>
  <c r="AH93" i="3"/>
  <c r="AF95" i="3"/>
  <c r="AF97" i="3"/>
  <c r="AF102" i="3"/>
  <c r="AG102" i="3"/>
  <c r="AF100" i="3"/>
  <c r="AA271" i="3"/>
  <c r="AB271" i="3"/>
  <c r="AB273" i="3"/>
  <c r="Z273" i="3"/>
  <c r="AJ82" i="3"/>
  <c r="AI91" i="3"/>
  <c r="Z216" i="3"/>
  <c r="M278" i="3"/>
  <c r="I156" i="3"/>
  <c r="AH49" i="3"/>
  <c r="AF51" i="3"/>
  <c r="AF57" i="3"/>
  <c r="Q109" i="3"/>
  <c r="Q76" i="3"/>
  <c r="AA251" i="3"/>
  <c r="AB251" i="3"/>
  <c r="AB187" i="3"/>
  <c r="C317" i="3"/>
  <c r="AH246" i="3"/>
  <c r="AE14" i="3"/>
  <c r="AE142" i="3"/>
  <c r="AE58" i="3"/>
  <c r="AE59" i="3"/>
  <c r="AE39" i="3"/>
  <c r="AD269" i="3"/>
  <c r="K156" i="3"/>
  <c r="P149" i="3"/>
  <c r="X73" i="3"/>
  <c r="V21" i="3"/>
  <c r="W21" i="3"/>
  <c r="X120" i="3"/>
  <c r="AH153" i="3"/>
  <c r="AF31" i="3"/>
  <c r="AG31" i="3"/>
  <c r="AG153" i="3"/>
  <c r="AE15" i="3"/>
  <c r="AE143" i="3"/>
  <c r="AE69" i="3"/>
  <c r="U139" i="3"/>
  <c r="U140" i="3"/>
  <c r="U138" i="3"/>
  <c r="Q123" i="3"/>
  <c r="AD17" i="3"/>
  <c r="X134" i="3"/>
  <c r="V137" i="3"/>
  <c r="AC261" i="3"/>
  <c r="AC187" i="3"/>
  <c r="AC251" i="3"/>
  <c r="AC248" i="3"/>
  <c r="AC148" i="3"/>
  <c r="AI145" i="3"/>
  <c r="AK236" i="3"/>
  <c r="AK195" i="3"/>
  <c r="AK244" i="3"/>
  <c r="AL244" i="3"/>
  <c r="AJ145" i="3"/>
  <c r="AK255" i="3"/>
  <c r="AL255" i="3"/>
  <c r="AL206" i="3"/>
  <c r="AJ253" i="3"/>
  <c r="AK189" i="3"/>
  <c r="AJ210" i="3"/>
  <c r="AI265" i="3"/>
  <c r="AI283" i="3"/>
  <c r="AI235" i="3"/>
  <c r="H280" i="3"/>
  <c r="Q127" i="3"/>
  <c r="Q125" i="3"/>
  <c r="Y73" i="3"/>
  <c r="X21" i="3"/>
  <c r="P150" i="3"/>
  <c r="AF14" i="3"/>
  <c r="AF142" i="3"/>
  <c r="AF58" i="3"/>
  <c r="AF59" i="3"/>
  <c r="AA216" i="3"/>
  <c r="Q201" i="3"/>
  <c r="AA232" i="3"/>
  <c r="AC232" i="3"/>
  <c r="AD232" i="3"/>
  <c r="AF15" i="3"/>
  <c r="AF143" i="3"/>
  <c r="AF69" i="3"/>
  <c r="AG69" i="3"/>
  <c r="V139" i="3"/>
  <c r="V140" i="3"/>
  <c r="V138" i="3"/>
  <c r="AD261" i="3"/>
  <c r="AD248" i="3"/>
  <c r="AD187" i="3"/>
  <c r="AD251" i="3"/>
  <c r="AD148" i="3"/>
  <c r="AE17" i="3"/>
  <c r="Q188" i="3"/>
  <c r="AI49" i="3"/>
  <c r="AH51" i="3"/>
  <c r="AH57" i="3"/>
  <c r="M191" i="3"/>
  <c r="AI60" i="3"/>
  <c r="AH62" i="3"/>
  <c r="AH64" i="3"/>
  <c r="AH67" i="3"/>
  <c r="AG57" i="3"/>
  <c r="M156" i="3"/>
  <c r="M280" i="3"/>
  <c r="Y134" i="3"/>
  <c r="X137" i="3"/>
  <c r="Q79" i="3"/>
  <c r="Q77" i="3"/>
  <c r="AK82" i="3"/>
  <c r="AK91" i="3"/>
  <c r="AJ91" i="3"/>
  <c r="AK204" i="3"/>
  <c r="AJ256" i="3"/>
  <c r="Y120" i="3"/>
  <c r="AF39" i="3"/>
  <c r="AE269" i="3"/>
  <c r="Y193" i="3"/>
  <c r="AH95" i="3"/>
  <c r="AH97" i="3"/>
  <c r="AH102" i="3"/>
  <c r="AI93" i="3"/>
  <c r="AH100" i="3"/>
  <c r="AK44" i="3"/>
  <c r="AL44" i="3"/>
  <c r="AI153" i="3"/>
  <c r="AH31" i="3"/>
  <c r="Q113" i="3"/>
  <c r="Q111" i="3"/>
  <c r="AJ192" i="3"/>
  <c r="Y106" i="3"/>
  <c r="AC271" i="3"/>
  <c r="AA273" i="3"/>
  <c r="AK25" i="3"/>
  <c r="AL195" i="3"/>
  <c r="AG14" i="3"/>
  <c r="AG15" i="3"/>
  <c r="AG17" i="3"/>
  <c r="AJ265" i="3"/>
  <c r="AK210" i="3"/>
  <c r="AJ283" i="3"/>
  <c r="AJ235" i="3"/>
  <c r="AK253" i="3"/>
  <c r="AL253" i="3"/>
  <c r="AL189" i="3"/>
  <c r="AC216" i="3"/>
  <c r="AB216" i="3"/>
  <c r="Q112" i="3"/>
  <c r="R111" i="3"/>
  <c r="R112" i="3"/>
  <c r="AK256" i="3"/>
  <c r="AL256" i="3"/>
  <c r="AL204" i="3"/>
  <c r="AH14" i="3"/>
  <c r="AH142" i="3"/>
  <c r="AH59" i="3"/>
  <c r="AH58" i="3"/>
  <c r="Y21" i="3"/>
  <c r="Q126" i="3"/>
  <c r="R125" i="3"/>
  <c r="R126" i="3"/>
  <c r="M196" i="3"/>
  <c r="AK192" i="3"/>
  <c r="AH15" i="3"/>
  <c r="AH143" i="3"/>
  <c r="AH69" i="3"/>
  <c r="Z243" i="3"/>
  <c r="Z134" i="3"/>
  <c r="S104" i="3"/>
  <c r="S103" i="3"/>
  <c r="S107" i="3"/>
  <c r="S105" i="3"/>
  <c r="S108" i="3"/>
  <c r="AI51" i="3"/>
  <c r="AI57" i="3"/>
  <c r="AJ49" i="3"/>
  <c r="Q78" i="3"/>
  <c r="R77" i="3"/>
  <c r="R78" i="3"/>
  <c r="AI62" i="3"/>
  <c r="AI64" i="3"/>
  <c r="AJ60" i="3"/>
  <c r="AI67" i="3"/>
  <c r="Q252" i="3"/>
  <c r="R252" i="3"/>
  <c r="R188" i="3"/>
  <c r="AF17" i="3"/>
  <c r="AH39" i="3"/>
  <c r="AF269" i="3"/>
  <c r="S119" i="3"/>
  <c r="S118" i="3"/>
  <c r="S122" i="3"/>
  <c r="S121" i="3"/>
  <c r="AK245" i="3"/>
  <c r="AL25" i="3"/>
  <c r="AI95" i="3"/>
  <c r="AI97" i="3"/>
  <c r="AI102" i="3"/>
  <c r="AJ93" i="3"/>
  <c r="AI100" i="3"/>
  <c r="AK145" i="3"/>
  <c r="S74" i="3"/>
  <c r="S75" i="3"/>
  <c r="S71" i="3"/>
  <c r="S72" i="3"/>
  <c r="S70" i="3"/>
  <c r="V202" i="3"/>
  <c r="Q146" i="3"/>
  <c r="AE232" i="3"/>
  <c r="AF232" i="3"/>
  <c r="AJ153" i="3"/>
  <c r="AI31" i="3"/>
  <c r="X138" i="3"/>
  <c r="X139" i="3"/>
  <c r="X140" i="3"/>
  <c r="M186" i="3"/>
  <c r="Q254" i="3"/>
  <c r="R254" i="3"/>
  <c r="Q209" i="3"/>
  <c r="Q214" i="3"/>
  <c r="R201" i="3"/>
  <c r="R209" i="3"/>
  <c r="R214" i="3"/>
  <c r="AD271" i="3"/>
  <c r="AC273" i="3"/>
  <c r="Y137" i="3"/>
  <c r="AE261" i="3"/>
  <c r="AE187" i="3"/>
  <c r="AE251" i="3"/>
  <c r="AE248" i="3"/>
  <c r="AE148" i="3"/>
  <c r="AK283" i="3"/>
  <c r="AK265" i="3"/>
  <c r="AL265" i="3"/>
  <c r="AK235" i="3"/>
  <c r="AL210" i="3"/>
  <c r="AL283" i="3"/>
  <c r="AE271" i="3"/>
  <c r="AD273" i="3"/>
  <c r="S76" i="3"/>
  <c r="S18" i="3"/>
  <c r="S19" i="3"/>
  <c r="AK246" i="3"/>
  <c r="AL246" i="3"/>
  <c r="AL245" i="3"/>
  <c r="AF261" i="3"/>
  <c r="AG261" i="3"/>
  <c r="AG292" i="3"/>
  <c r="AF187" i="3"/>
  <c r="AF248" i="3"/>
  <c r="AG248" i="3"/>
  <c r="AF148" i="3"/>
  <c r="AI15" i="3"/>
  <c r="AI69" i="3"/>
  <c r="AJ51" i="3"/>
  <c r="AJ57" i="3"/>
  <c r="AK49" i="3"/>
  <c r="AK51" i="3"/>
  <c r="AK57" i="3"/>
  <c r="S123" i="3"/>
  <c r="S23" i="3"/>
  <c r="S22" i="3"/>
  <c r="AG148" i="3"/>
  <c r="AH17" i="3"/>
  <c r="R149" i="3"/>
  <c r="AK153" i="3"/>
  <c r="AK31" i="3"/>
  <c r="AJ31" i="3"/>
  <c r="Q149" i="3"/>
  <c r="Y139" i="3"/>
  <c r="Y140" i="3"/>
  <c r="Y138" i="3"/>
  <c r="V257" i="3"/>
  <c r="W257" i="3"/>
  <c r="W202" i="3"/>
  <c r="AJ95" i="3"/>
  <c r="AJ97" i="3"/>
  <c r="AJ102" i="3"/>
  <c r="AK93" i="3"/>
  <c r="AJ100" i="3"/>
  <c r="AG269" i="3"/>
  <c r="Z120" i="3"/>
  <c r="S109" i="3"/>
  <c r="AD216" i="3"/>
  <c r="AI14" i="3"/>
  <c r="AI142" i="3"/>
  <c r="AI59" i="3"/>
  <c r="AI58" i="3"/>
  <c r="AI39" i="3"/>
  <c r="AH269" i="3"/>
  <c r="Z137" i="3"/>
  <c r="AL192" i="3"/>
  <c r="AH232" i="3"/>
  <c r="AI232" i="3"/>
  <c r="AJ232" i="3"/>
  <c r="S20" i="3"/>
  <c r="Z106" i="3"/>
  <c r="AJ62" i="3"/>
  <c r="AJ64" i="3"/>
  <c r="AK60" i="3"/>
  <c r="AJ67" i="3"/>
  <c r="Z193" i="3"/>
  <c r="Z73" i="3"/>
  <c r="AL31" i="3"/>
  <c r="AL153" i="3"/>
  <c r="AL57" i="3"/>
  <c r="AA243" i="3"/>
  <c r="AA106" i="3"/>
  <c r="AE216" i="3"/>
  <c r="AK95" i="3"/>
  <c r="AK97" i="3"/>
  <c r="AK102" i="3"/>
  <c r="AL102" i="3"/>
  <c r="AK100" i="3"/>
  <c r="AI143" i="3"/>
  <c r="M3" i="3"/>
  <c r="M4" i="3"/>
  <c r="R276" i="3"/>
  <c r="S113" i="3"/>
  <c r="S111" i="3"/>
  <c r="Z139" i="3"/>
  <c r="Z140" i="3"/>
  <c r="Z138" i="3"/>
  <c r="S201" i="3"/>
  <c r="AK232" i="3"/>
  <c r="S170" i="3"/>
  <c r="S188" i="3"/>
  <c r="S252" i="3"/>
  <c r="S24" i="3"/>
  <c r="AJ15" i="3"/>
  <c r="AJ143" i="3"/>
  <c r="AJ69" i="3"/>
  <c r="AK14" i="3"/>
  <c r="AK59" i="3"/>
  <c r="AK58" i="3"/>
  <c r="AF251" i="3"/>
  <c r="AG251" i="3"/>
  <c r="AG187" i="3"/>
  <c r="S79" i="3"/>
  <c r="S77" i="3"/>
  <c r="AK62" i="3"/>
  <c r="AK64" i="3"/>
  <c r="AK67" i="3"/>
  <c r="AJ14" i="3"/>
  <c r="AJ142" i="3"/>
  <c r="AJ59" i="3"/>
  <c r="AJ58" i="3"/>
  <c r="AJ39" i="3"/>
  <c r="AI269" i="3"/>
  <c r="L285" i="3"/>
  <c r="L3" i="3"/>
  <c r="L4" i="3"/>
  <c r="AH261" i="3"/>
  <c r="AH248" i="3"/>
  <c r="AH187" i="3"/>
  <c r="AH251" i="3"/>
  <c r="AH148" i="3"/>
  <c r="S127" i="3"/>
  <c r="S125" i="3"/>
  <c r="Z21" i="3"/>
  <c r="AI17" i="3"/>
  <c r="AF271" i="3"/>
  <c r="AE273" i="3"/>
  <c r="AA120" i="3"/>
  <c r="AA73" i="3"/>
  <c r="AK15" i="3"/>
  <c r="AL15" i="3"/>
  <c r="AK69" i="3"/>
  <c r="AL69" i="3"/>
  <c r="S174" i="3"/>
  <c r="S175" i="3"/>
  <c r="S177" i="3"/>
  <c r="T72" i="3"/>
  <c r="T70" i="3"/>
  <c r="T75" i="3"/>
  <c r="T74" i="3"/>
  <c r="T71" i="3"/>
  <c r="AA134" i="3"/>
  <c r="AB243" i="3"/>
  <c r="S254" i="3"/>
  <c r="S209" i="3"/>
  <c r="S214" i="3"/>
  <c r="S78" i="3"/>
  <c r="AA193" i="3"/>
  <c r="AK39" i="3"/>
  <c r="AK269" i="3"/>
  <c r="AJ269" i="3"/>
  <c r="AI261" i="3"/>
  <c r="AI187" i="3"/>
  <c r="AI251" i="3"/>
  <c r="AI248" i="3"/>
  <c r="AI148" i="3"/>
  <c r="AH271" i="3"/>
  <c r="AG271" i="3"/>
  <c r="AG273" i="3"/>
  <c r="AF273" i="3"/>
  <c r="AF216" i="3"/>
  <c r="Q28" i="3"/>
  <c r="AK17" i="3"/>
  <c r="S126" i="3"/>
  <c r="AK142" i="3"/>
  <c r="S112" i="3"/>
  <c r="T118" i="3"/>
  <c r="T119" i="3"/>
  <c r="T121" i="3"/>
  <c r="T122" i="3"/>
  <c r="L190" i="3"/>
  <c r="L199" i="3"/>
  <c r="L222" i="3"/>
  <c r="L282" i="3"/>
  <c r="L284" i="3"/>
  <c r="M185" i="3"/>
  <c r="M285" i="3"/>
  <c r="AJ17" i="3"/>
  <c r="AL14" i="3"/>
  <c r="X202" i="3"/>
  <c r="X257" i="3"/>
  <c r="S26" i="3"/>
  <c r="T104" i="3"/>
  <c r="T105" i="3"/>
  <c r="T107" i="3"/>
  <c r="T108" i="3"/>
  <c r="T103" i="3"/>
  <c r="AA21" i="3"/>
  <c r="AB21" i="3"/>
  <c r="AL269" i="3"/>
  <c r="S149" i="3"/>
  <c r="S146" i="3"/>
  <c r="T22" i="3"/>
  <c r="S27" i="3"/>
  <c r="S28" i="3"/>
  <c r="S179" i="3"/>
  <c r="S37" i="3"/>
  <c r="AK248" i="3"/>
  <c r="AK187" i="3"/>
  <c r="AK261" i="3"/>
  <c r="AK148" i="3"/>
  <c r="T76" i="3"/>
  <c r="T18" i="3"/>
  <c r="T123" i="3"/>
  <c r="T20" i="3"/>
  <c r="T109" i="3"/>
  <c r="AH216" i="3"/>
  <c r="AG216" i="3"/>
  <c r="AI271" i="3"/>
  <c r="AH273" i="3"/>
  <c r="AL17" i="3"/>
  <c r="AJ261" i="3"/>
  <c r="AJ187" i="3"/>
  <c r="AJ251" i="3"/>
  <c r="AJ248" i="3"/>
  <c r="AJ148" i="3"/>
  <c r="R150" i="3"/>
  <c r="M282" i="3"/>
  <c r="M284" i="3"/>
  <c r="M190" i="3"/>
  <c r="M199" i="3"/>
  <c r="M222" i="3"/>
  <c r="M152" i="3"/>
  <c r="AB193" i="3"/>
  <c r="AC243" i="3"/>
  <c r="AC134" i="3"/>
  <c r="AK143" i="3"/>
  <c r="AA137" i="3"/>
  <c r="T23" i="3"/>
  <c r="Q150" i="3"/>
  <c r="T19" i="3"/>
  <c r="AC193" i="3"/>
  <c r="AD243" i="3"/>
  <c r="AC120" i="3"/>
  <c r="AL248" i="3"/>
  <c r="AL261" i="3"/>
  <c r="AL292" i="3"/>
  <c r="T170" i="3"/>
  <c r="AA139" i="3"/>
  <c r="AA140" i="3"/>
  <c r="AA138" i="3"/>
  <c r="AL148" i="3"/>
  <c r="T113" i="3"/>
  <c r="T111" i="3"/>
  <c r="T24" i="3"/>
  <c r="T188" i="3"/>
  <c r="T252" i="3"/>
  <c r="AC137" i="3"/>
  <c r="T127" i="3"/>
  <c r="T125" i="3"/>
  <c r="S150" i="3"/>
  <c r="AC106" i="3"/>
  <c r="AC73" i="3"/>
  <c r="AJ271" i="3"/>
  <c r="AI273" i="3"/>
  <c r="T79" i="3"/>
  <c r="T77" i="3"/>
  <c r="T201" i="3"/>
  <c r="AK251" i="3"/>
  <c r="AL251" i="3"/>
  <c r="AL187" i="3"/>
  <c r="AI216" i="3"/>
  <c r="AD106" i="3"/>
  <c r="T209" i="3"/>
  <c r="T214" i="3"/>
  <c r="T254" i="3"/>
  <c r="T126" i="3"/>
  <c r="T78" i="3"/>
  <c r="Y202" i="3"/>
  <c r="Y257" i="3"/>
  <c r="T26" i="3"/>
  <c r="AK271" i="3"/>
  <c r="AK273" i="3"/>
  <c r="AJ273" i="3"/>
  <c r="U119" i="3"/>
  <c r="U122" i="3"/>
  <c r="U118" i="3"/>
  <c r="U121" i="3"/>
  <c r="AD193" i="3"/>
  <c r="N38" i="3"/>
  <c r="N43" i="3"/>
  <c r="U74" i="3"/>
  <c r="U75" i="3"/>
  <c r="U70" i="3"/>
  <c r="U72" i="3"/>
  <c r="U71" i="3"/>
  <c r="AD73" i="3"/>
  <c r="AC21" i="3"/>
  <c r="AC139" i="3"/>
  <c r="AC140" i="3"/>
  <c r="AC138" i="3"/>
  <c r="T112" i="3"/>
  <c r="AJ216" i="3"/>
  <c r="AD134" i="3"/>
  <c r="U107" i="3"/>
  <c r="U103" i="3"/>
  <c r="U105" i="3"/>
  <c r="U104" i="3"/>
  <c r="U108" i="3"/>
  <c r="T174" i="3"/>
  <c r="T175" i="3"/>
  <c r="T177" i="3"/>
  <c r="AD120" i="3"/>
  <c r="AL271" i="3"/>
  <c r="AL273" i="3"/>
  <c r="T179" i="3"/>
  <c r="T37" i="3"/>
  <c r="T27" i="3"/>
  <c r="T28" i="3"/>
  <c r="N154" i="3"/>
  <c r="U22" i="3"/>
  <c r="N41" i="3"/>
  <c r="N42" i="3"/>
  <c r="AE243" i="3"/>
  <c r="AE134" i="3"/>
  <c r="U19" i="3"/>
  <c r="U20" i="3"/>
  <c r="U123" i="3"/>
  <c r="AD21" i="3"/>
  <c r="AD137" i="3"/>
  <c r="AK216" i="3"/>
  <c r="T149" i="3"/>
  <c r="U76" i="3"/>
  <c r="U18" i="3"/>
  <c r="U109" i="3"/>
  <c r="U23" i="3"/>
  <c r="T146" i="3"/>
  <c r="AE137" i="3"/>
  <c r="U113" i="3"/>
  <c r="U111" i="3"/>
  <c r="AE73" i="3"/>
  <c r="AL216" i="3"/>
  <c r="U127" i="3"/>
  <c r="U125" i="3"/>
  <c r="U201" i="3"/>
  <c r="U24" i="3"/>
  <c r="U188" i="3"/>
  <c r="U252" i="3"/>
  <c r="AE120" i="3"/>
  <c r="U79" i="3"/>
  <c r="U77" i="3"/>
  <c r="AD139" i="3"/>
  <c r="AD140" i="3"/>
  <c r="AD138" i="3"/>
  <c r="AE106" i="3"/>
  <c r="AE193" i="3"/>
  <c r="U170" i="3"/>
  <c r="T150" i="3"/>
  <c r="N278" i="3"/>
  <c r="N155" i="3"/>
  <c r="N291" i="3"/>
  <c r="U112" i="3"/>
  <c r="N234" i="3"/>
  <c r="AE21" i="3"/>
  <c r="U174" i="3"/>
  <c r="U175" i="3"/>
  <c r="U177" i="3"/>
  <c r="AF243" i="3"/>
  <c r="AG243" i="3"/>
  <c r="U209" i="3"/>
  <c r="U214" i="3"/>
  <c r="U254" i="3"/>
  <c r="V104" i="3"/>
  <c r="V105" i="3"/>
  <c r="V107" i="3"/>
  <c r="V103" i="3"/>
  <c r="V108" i="3"/>
  <c r="U78" i="3"/>
  <c r="U126" i="3"/>
  <c r="AE139" i="3"/>
  <c r="AE140" i="3"/>
  <c r="AE138" i="3"/>
  <c r="Z202" i="3"/>
  <c r="Z257" i="3"/>
  <c r="U26" i="3"/>
  <c r="V70" i="3"/>
  <c r="V75" i="3"/>
  <c r="V72" i="3"/>
  <c r="V74" i="3"/>
  <c r="V71" i="3"/>
  <c r="V121" i="3"/>
  <c r="V119" i="3"/>
  <c r="V118" i="3"/>
  <c r="V122" i="3"/>
  <c r="N156" i="3"/>
  <c r="AF193" i="3"/>
  <c r="AG193" i="3"/>
  <c r="AH243" i="3"/>
  <c r="AF106" i="3"/>
  <c r="AF134" i="3"/>
  <c r="AF137" i="3"/>
  <c r="AF73" i="3"/>
  <c r="AF120" i="3"/>
  <c r="U27" i="3"/>
  <c r="U28" i="3"/>
  <c r="U179" i="3"/>
  <c r="U37" i="3"/>
  <c r="V20" i="3"/>
  <c r="W20" i="3"/>
  <c r="U149" i="3"/>
  <c r="V76" i="3"/>
  <c r="V18" i="3"/>
  <c r="U146" i="3"/>
  <c r="V23" i="3"/>
  <c r="V123" i="3"/>
  <c r="V19" i="3"/>
  <c r="W19" i="3"/>
  <c r="V22" i="3"/>
  <c r="V109" i="3"/>
  <c r="AH106" i="3"/>
  <c r="AH73" i="3"/>
  <c r="AF21" i="3"/>
  <c r="AG21" i="3"/>
  <c r="AH134" i="3"/>
  <c r="AH120" i="3"/>
  <c r="V79" i="3"/>
  <c r="V77" i="3"/>
  <c r="U150" i="3"/>
  <c r="V201" i="3"/>
  <c r="W22" i="3"/>
  <c r="V170" i="3"/>
  <c r="W23" i="3"/>
  <c r="V24" i="3"/>
  <c r="V188" i="3"/>
  <c r="W18" i="3"/>
  <c r="AH193" i="3"/>
  <c r="V127" i="3"/>
  <c r="V125" i="3"/>
  <c r="AF139" i="3"/>
  <c r="AF140" i="3"/>
  <c r="AF138" i="3"/>
  <c r="AH137" i="3"/>
  <c r="V113" i="3"/>
  <c r="V111" i="3"/>
  <c r="N285" i="3"/>
  <c r="AH21" i="3"/>
  <c r="W24" i="3"/>
  <c r="W26" i="3"/>
  <c r="W149" i="3"/>
  <c r="AI243" i="3"/>
  <c r="AI193" i="3"/>
  <c r="V112" i="3"/>
  <c r="W111" i="3"/>
  <c r="W112" i="3"/>
  <c r="X122" i="3"/>
  <c r="X119" i="3"/>
  <c r="X121" i="3"/>
  <c r="X118" i="3"/>
  <c r="AA202" i="3"/>
  <c r="V26" i="3"/>
  <c r="V146" i="3"/>
  <c r="V126" i="3"/>
  <c r="W125" i="3"/>
  <c r="W126" i="3"/>
  <c r="V254" i="3"/>
  <c r="W254" i="3"/>
  <c r="V209" i="3"/>
  <c r="V214" i="3"/>
  <c r="W201" i="3"/>
  <c r="W209" i="3"/>
  <c r="W214" i="3"/>
  <c r="V252" i="3"/>
  <c r="W252" i="3"/>
  <c r="W188" i="3"/>
  <c r="X104" i="3"/>
  <c r="X103" i="3"/>
  <c r="X108" i="3"/>
  <c r="X107" i="3"/>
  <c r="X105" i="3"/>
  <c r="AH139" i="3"/>
  <c r="AH140" i="3"/>
  <c r="AH138" i="3"/>
  <c r="V174" i="3"/>
  <c r="V175" i="3"/>
  <c r="V177" i="3"/>
  <c r="V78" i="3"/>
  <c r="W77" i="3"/>
  <c r="W78" i="3"/>
  <c r="X70" i="3"/>
  <c r="X74" i="3"/>
  <c r="X71" i="3"/>
  <c r="X72" i="3"/>
  <c r="X75" i="3"/>
  <c r="N3" i="3"/>
  <c r="N4" i="3"/>
  <c r="AJ243" i="3"/>
  <c r="AJ193" i="3"/>
  <c r="V179" i="3"/>
  <c r="V37" i="3"/>
  <c r="W37" i="3"/>
  <c r="V27" i="3"/>
  <c r="W27" i="3"/>
  <c r="W28" i="3"/>
  <c r="X19" i="3"/>
  <c r="X22" i="3"/>
  <c r="V149" i="3"/>
  <c r="X76" i="3"/>
  <c r="X18" i="3"/>
  <c r="AI120" i="3"/>
  <c r="AI73" i="3"/>
  <c r="AI134" i="3"/>
  <c r="AI106" i="3"/>
  <c r="X123" i="3"/>
  <c r="X20" i="3"/>
  <c r="AA257" i="3"/>
  <c r="AB257" i="3"/>
  <c r="AB202" i="3"/>
  <c r="X23" i="3"/>
  <c r="X109" i="3"/>
  <c r="N282" i="3"/>
  <c r="N284" i="3"/>
  <c r="N190" i="3"/>
  <c r="N199" i="3"/>
  <c r="N222" i="3"/>
  <c r="V28" i="3"/>
  <c r="V150" i="3"/>
  <c r="AJ106" i="3"/>
  <c r="AK243" i="3"/>
  <c r="AL243" i="3"/>
  <c r="X113" i="3"/>
  <c r="X111" i="3"/>
  <c r="X201" i="3"/>
  <c r="AJ134" i="3"/>
  <c r="AI137" i="3"/>
  <c r="W150" i="3"/>
  <c r="X24" i="3"/>
  <c r="X188" i="3"/>
  <c r="X252" i="3"/>
  <c r="X170" i="3"/>
  <c r="X127" i="3"/>
  <c r="X125" i="3"/>
  <c r="AJ73" i="3"/>
  <c r="AI21" i="3"/>
  <c r="X79" i="3"/>
  <c r="X77" i="3"/>
  <c r="AJ120" i="3"/>
  <c r="AK106" i="3"/>
  <c r="AK193" i="3"/>
  <c r="AL193" i="3"/>
  <c r="Y121" i="3"/>
  <c r="Y122" i="3"/>
  <c r="Y118" i="3"/>
  <c r="Y119" i="3"/>
  <c r="AI139" i="3"/>
  <c r="AI140" i="3"/>
  <c r="AI138" i="3"/>
  <c r="X174" i="3"/>
  <c r="X175" i="3"/>
  <c r="X177" i="3"/>
  <c r="X78" i="3"/>
  <c r="AK134" i="3"/>
  <c r="AK137" i="3"/>
  <c r="AJ137" i="3"/>
  <c r="X209" i="3"/>
  <c r="X214" i="3"/>
  <c r="X254" i="3"/>
  <c r="Y74" i="3"/>
  <c r="Y72" i="3"/>
  <c r="Y71" i="3"/>
  <c r="Y75" i="3"/>
  <c r="Y70" i="3"/>
  <c r="X112" i="3"/>
  <c r="AC202" i="3"/>
  <c r="AC257" i="3"/>
  <c r="X26" i="3"/>
  <c r="Y103" i="3"/>
  <c r="Y105" i="3"/>
  <c r="Y107" i="3"/>
  <c r="Y108" i="3"/>
  <c r="Y104" i="3"/>
  <c r="AK120" i="3"/>
  <c r="AK73" i="3"/>
  <c r="AJ21" i="3"/>
  <c r="X126" i="3"/>
  <c r="AK21" i="3"/>
  <c r="AL21" i="3"/>
  <c r="X27" i="3"/>
  <c r="X28" i="3"/>
  <c r="X179" i="3"/>
  <c r="X37" i="3"/>
  <c r="Y22" i="3"/>
  <c r="O38" i="3"/>
  <c r="O43" i="3"/>
  <c r="Y109" i="3"/>
  <c r="AJ139" i="3"/>
  <c r="AJ140" i="3"/>
  <c r="AJ138" i="3"/>
  <c r="X149" i="3"/>
  <c r="Y76" i="3"/>
  <c r="Y18" i="3"/>
  <c r="AK139" i="3"/>
  <c r="AK140" i="3"/>
  <c r="AK138" i="3"/>
  <c r="Y23" i="3"/>
  <c r="Y123" i="3"/>
  <c r="Y19" i="3"/>
  <c r="Y20" i="3"/>
  <c r="X146" i="3"/>
  <c r="X150" i="3"/>
  <c r="O154" i="3"/>
  <c r="Y201" i="3"/>
  <c r="Y127" i="3"/>
  <c r="Y125" i="3"/>
  <c r="Y24" i="3"/>
  <c r="Y188" i="3"/>
  <c r="Y252" i="3"/>
  <c r="Y79" i="3"/>
  <c r="Y77" i="3"/>
  <c r="Y170" i="3"/>
  <c r="Y113" i="3"/>
  <c r="Y111" i="3"/>
  <c r="Y254" i="3"/>
  <c r="Y209" i="3"/>
  <c r="Y214" i="3"/>
  <c r="Z75" i="3"/>
  <c r="Z72" i="3"/>
  <c r="Z71" i="3"/>
  <c r="Z70" i="3"/>
  <c r="Z74" i="3"/>
  <c r="Y112" i="3"/>
  <c r="Z104" i="3"/>
  <c r="Z103" i="3"/>
  <c r="Z107" i="3"/>
  <c r="Z108" i="3"/>
  <c r="Z105" i="3"/>
  <c r="Y174" i="3"/>
  <c r="Y175" i="3"/>
  <c r="Y177" i="3"/>
  <c r="AD202" i="3"/>
  <c r="AD257" i="3"/>
  <c r="Y26" i="3"/>
  <c r="Y146" i="3"/>
  <c r="Z118" i="3"/>
  <c r="Z121" i="3"/>
  <c r="Z122" i="3"/>
  <c r="Z119" i="3"/>
  <c r="O42" i="3"/>
  <c r="O41" i="3"/>
  <c r="Y78" i="3"/>
  <c r="Y126" i="3"/>
  <c r="Y179" i="3"/>
  <c r="Y37" i="3"/>
  <c r="Y27" i="3"/>
  <c r="Z76" i="3"/>
  <c r="Z18" i="3"/>
  <c r="Z22" i="3"/>
  <c r="Z20" i="3"/>
  <c r="Z19" i="3"/>
  <c r="Z123" i="3"/>
  <c r="Z109" i="3"/>
  <c r="Z23" i="3"/>
  <c r="Y149" i="3"/>
  <c r="O278" i="3"/>
  <c r="O291" i="3"/>
  <c r="O155" i="3"/>
  <c r="O234" i="3"/>
  <c r="Z24" i="3"/>
  <c r="Z188" i="3"/>
  <c r="Z252" i="3"/>
  <c r="Z201" i="3"/>
  <c r="Z79" i="3"/>
  <c r="Z77" i="3"/>
  <c r="O156" i="3"/>
  <c r="Z127" i="3"/>
  <c r="Z125" i="3"/>
  <c r="Z170" i="3"/>
  <c r="Y28" i="3"/>
  <c r="Z113" i="3"/>
  <c r="Z111" i="3"/>
  <c r="Z126" i="3"/>
  <c r="AA107" i="3"/>
  <c r="AA103" i="3"/>
  <c r="AA105" i="3"/>
  <c r="AA108" i="3"/>
  <c r="AA104" i="3"/>
  <c r="AE202" i="3"/>
  <c r="AE257" i="3"/>
  <c r="Z26" i="3"/>
  <c r="Z146" i="3"/>
  <c r="Z209" i="3"/>
  <c r="Z214" i="3"/>
  <c r="Z254" i="3"/>
  <c r="Z112" i="3"/>
  <c r="Z174" i="3"/>
  <c r="Z175" i="3"/>
  <c r="Z177" i="3"/>
  <c r="AA119" i="3"/>
  <c r="AA122" i="3"/>
  <c r="AA121" i="3"/>
  <c r="AA118" i="3"/>
  <c r="Y150" i="3"/>
  <c r="Z78" i="3"/>
  <c r="AA72" i="3"/>
  <c r="AA71" i="3"/>
  <c r="AA75" i="3"/>
  <c r="AA70" i="3"/>
  <c r="AA74" i="3"/>
  <c r="Z27" i="3"/>
  <c r="Z28" i="3"/>
  <c r="Z179" i="3"/>
  <c r="Z37" i="3"/>
  <c r="AA22" i="3"/>
  <c r="AA76" i="3"/>
  <c r="AA18" i="3"/>
  <c r="AA109" i="3"/>
  <c r="AA123" i="3"/>
  <c r="AA23" i="3"/>
  <c r="AA19" i="3"/>
  <c r="AB19" i="3"/>
  <c r="AA20" i="3"/>
  <c r="AB20" i="3"/>
  <c r="Z149" i="3"/>
  <c r="AA79" i="3"/>
  <c r="AA77" i="3"/>
  <c r="Z150" i="3"/>
  <c r="AA127" i="3"/>
  <c r="AA125" i="3"/>
  <c r="AA201" i="3"/>
  <c r="AB22" i="3"/>
  <c r="AA170" i="3"/>
  <c r="AB23" i="3"/>
  <c r="AA113" i="3"/>
  <c r="AA111" i="3"/>
  <c r="AA24" i="3"/>
  <c r="AA188" i="3"/>
  <c r="AB18" i="3"/>
  <c r="O3" i="3"/>
  <c r="O4" i="3"/>
  <c r="O285" i="3"/>
  <c r="AA112" i="3"/>
  <c r="AB111" i="3"/>
  <c r="AB112" i="3"/>
  <c r="AA78" i="3"/>
  <c r="AB77" i="3"/>
  <c r="AB78" i="3"/>
  <c r="AA174" i="3"/>
  <c r="AA175" i="3"/>
  <c r="AA177" i="3"/>
  <c r="AC107" i="3"/>
  <c r="AC105" i="3"/>
  <c r="AC108" i="3"/>
  <c r="AC103" i="3"/>
  <c r="AC104" i="3"/>
  <c r="AF202" i="3"/>
  <c r="AA26" i="3"/>
  <c r="AA209" i="3"/>
  <c r="AA214" i="3"/>
  <c r="AA254" i="3"/>
  <c r="AB254" i="3"/>
  <c r="AB201" i="3"/>
  <c r="AB209" i="3"/>
  <c r="AB214" i="3"/>
  <c r="AC121" i="3"/>
  <c r="AC122" i="3"/>
  <c r="AC119" i="3"/>
  <c r="AC118" i="3"/>
  <c r="AB24" i="3"/>
  <c r="AB26" i="3"/>
  <c r="AC70" i="3"/>
  <c r="AC72" i="3"/>
  <c r="AC75" i="3"/>
  <c r="AC71" i="3"/>
  <c r="AC74" i="3"/>
  <c r="AA252" i="3"/>
  <c r="AB252" i="3"/>
  <c r="AB188" i="3"/>
  <c r="AA126" i="3"/>
  <c r="AB125" i="3"/>
  <c r="AB126" i="3"/>
  <c r="O190" i="3"/>
  <c r="O199" i="3"/>
  <c r="O222" i="3"/>
  <c r="O282" i="3"/>
  <c r="O284" i="3"/>
  <c r="AA27" i="3"/>
  <c r="AB27" i="3"/>
  <c r="AB28" i="3"/>
  <c r="AA179" i="3"/>
  <c r="AA37" i="3"/>
  <c r="AB37" i="3"/>
  <c r="AC76" i="3"/>
  <c r="AC18" i="3"/>
  <c r="AB149" i="3"/>
  <c r="AA149" i="3"/>
  <c r="AC22" i="3"/>
  <c r="AC19" i="3"/>
  <c r="AC109" i="3"/>
  <c r="AA146" i="3"/>
  <c r="AC23" i="3"/>
  <c r="AC123" i="3"/>
  <c r="AG202" i="3"/>
  <c r="AF257" i="3"/>
  <c r="AG257" i="3"/>
  <c r="AC20" i="3"/>
  <c r="AA28" i="3"/>
  <c r="AA150" i="3"/>
  <c r="AC201" i="3"/>
  <c r="AC24" i="3"/>
  <c r="AC188" i="3"/>
  <c r="AC252" i="3"/>
  <c r="AC127" i="3"/>
  <c r="AC125" i="3"/>
  <c r="AC113" i="3"/>
  <c r="AC111" i="3"/>
  <c r="AC170" i="3"/>
  <c r="AC79" i="3"/>
  <c r="AC77" i="3"/>
  <c r="AB150" i="3"/>
  <c r="AC112" i="3"/>
  <c r="AH202" i="3"/>
  <c r="AH257" i="3"/>
  <c r="AC26" i="3"/>
  <c r="AC146" i="3"/>
  <c r="AD105" i="3"/>
  <c r="AD103" i="3"/>
  <c r="AD104" i="3"/>
  <c r="AD108" i="3"/>
  <c r="AD107" i="3"/>
  <c r="AC126" i="3"/>
  <c r="AC254" i="3"/>
  <c r="AC209" i="3"/>
  <c r="AC214" i="3"/>
  <c r="AC78" i="3"/>
  <c r="AD118" i="3"/>
  <c r="AD121" i="3"/>
  <c r="AD122" i="3"/>
  <c r="AD119" i="3"/>
  <c r="AD71" i="3"/>
  <c r="AD72" i="3"/>
  <c r="AD70" i="3"/>
  <c r="AD74" i="3"/>
  <c r="AD75" i="3"/>
  <c r="AC174" i="3"/>
  <c r="AC175" i="3"/>
  <c r="AC177" i="3"/>
  <c r="P38" i="3"/>
  <c r="P43" i="3"/>
  <c r="AC27" i="3"/>
  <c r="AC28" i="3"/>
  <c r="AC179" i="3"/>
  <c r="AC37" i="3"/>
  <c r="AD20" i="3"/>
  <c r="AD22" i="3"/>
  <c r="AD76" i="3"/>
  <c r="AD18" i="3"/>
  <c r="P42" i="3"/>
  <c r="P41" i="3"/>
  <c r="P154" i="3"/>
  <c r="C7" i="3"/>
  <c r="AD109" i="3"/>
  <c r="AD19" i="3"/>
  <c r="AC149" i="3"/>
  <c r="AD23" i="3"/>
  <c r="AD123" i="3"/>
  <c r="AD79" i="3"/>
  <c r="AD77" i="3"/>
  <c r="P278" i="3"/>
  <c r="P155" i="3"/>
  <c r="P291" i="3"/>
  <c r="AD170" i="3"/>
  <c r="AD201" i="3"/>
  <c r="AC150" i="3"/>
  <c r="AD127" i="3"/>
  <c r="AD125" i="3"/>
  <c r="AD113" i="3"/>
  <c r="AD111" i="3"/>
  <c r="AD24" i="3"/>
  <c r="AD188" i="3"/>
  <c r="AD252" i="3"/>
  <c r="AD112" i="3"/>
  <c r="P156" i="3"/>
  <c r="AD254" i="3"/>
  <c r="AD209" i="3"/>
  <c r="AD214" i="3"/>
  <c r="AE103" i="3"/>
  <c r="AE104" i="3"/>
  <c r="AE108" i="3"/>
  <c r="AE107" i="3"/>
  <c r="AE105" i="3"/>
  <c r="P234" i="3"/>
  <c r="AD126" i="3"/>
  <c r="AD174" i="3"/>
  <c r="AD175" i="3"/>
  <c r="AD177" i="3"/>
  <c r="AI202" i="3"/>
  <c r="AI257" i="3"/>
  <c r="AD26" i="3"/>
  <c r="AE118" i="3"/>
  <c r="AE122" i="3"/>
  <c r="AE119" i="3"/>
  <c r="AE121" i="3"/>
  <c r="AD78" i="3"/>
  <c r="AE70" i="3"/>
  <c r="AE75" i="3"/>
  <c r="AE71" i="3"/>
  <c r="AE72" i="3"/>
  <c r="AE74" i="3"/>
  <c r="AD27" i="3"/>
  <c r="AD28" i="3"/>
  <c r="AD179" i="3"/>
  <c r="AD37" i="3"/>
  <c r="AE20" i="3"/>
  <c r="AE22" i="3"/>
  <c r="AE123" i="3"/>
  <c r="AE76" i="3"/>
  <c r="AE18" i="3"/>
  <c r="AD149" i="3"/>
  <c r="AE109" i="3"/>
  <c r="AE19" i="3"/>
  <c r="AE23" i="3"/>
  <c r="AD146" i="3"/>
  <c r="AE170" i="3"/>
  <c r="AE201" i="3"/>
  <c r="AE24" i="3"/>
  <c r="AE188" i="3"/>
  <c r="AE252" i="3"/>
  <c r="AE113" i="3"/>
  <c r="AE111" i="3"/>
  <c r="AE79" i="3"/>
  <c r="AE77" i="3"/>
  <c r="AD150" i="3"/>
  <c r="AE127" i="3"/>
  <c r="AE125" i="3"/>
  <c r="AJ202" i="3"/>
  <c r="AJ257" i="3"/>
  <c r="AE26" i="3"/>
  <c r="AE146" i="3"/>
  <c r="AF74" i="3"/>
  <c r="AF75" i="3"/>
  <c r="AF72" i="3"/>
  <c r="AF70" i="3"/>
  <c r="AF71" i="3"/>
  <c r="AE126" i="3"/>
  <c r="AE112" i="3"/>
  <c r="AF121" i="3"/>
  <c r="AF118" i="3"/>
  <c r="AF122" i="3"/>
  <c r="AF119" i="3"/>
  <c r="AF105" i="3"/>
  <c r="AF104" i="3"/>
  <c r="AF107" i="3"/>
  <c r="AF108" i="3"/>
  <c r="AF103" i="3"/>
  <c r="AE78" i="3"/>
  <c r="AE209" i="3"/>
  <c r="AE214" i="3"/>
  <c r="AE254" i="3"/>
  <c r="AE174" i="3"/>
  <c r="AE175" i="3"/>
  <c r="AE177" i="3"/>
  <c r="AF76" i="3"/>
  <c r="AF18" i="3"/>
  <c r="AF19" i="3"/>
  <c r="AG19" i="3"/>
  <c r="Q276" i="3"/>
  <c r="P285" i="3"/>
  <c r="P3" i="3"/>
  <c r="P4" i="3"/>
  <c r="AF123" i="3"/>
  <c r="AF20" i="3"/>
  <c r="AG20" i="3"/>
  <c r="AE27" i="3"/>
  <c r="AE179" i="3"/>
  <c r="AE37" i="3"/>
  <c r="AF109" i="3"/>
  <c r="AF23" i="3"/>
  <c r="AF22" i="3"/>
  <c r="AE149" i="3"/>
  <c r="AF113" i="3"/>
  <c r="AF111" i="3"/>
  <c r="P190" i="3"/>
  <c r="P199" i="3"/>
  <c r="P222" i="3"/>
  <c r="P282" i="3"/>
  <c r="P284" i="3"/>
  <c r="AE28" i="3"/>
  <c r="AF201" i="3"/>
  <c r="AG22" i="3"/>
  <c r="AF24" i="3"/>
  <c r="AF188" i="3"/>
  <c r="AG18" i="3"/>
  <c r="AF170" i="3"/>
  <c r="AG23" i="3"/>
  <c r="AF127" i="3"/>
  <c r="AF125" i="3"/>
  <c r="AF79" i="3"/>
  <c r="AF77" i="3"/>
  <c r="AG24" i="3"/>
  <c r="AG26" i="3"/>
  <c r="AG149" i="3"/>
  <c r="AE150" i="3"/>
  <c r="AF252" i="3"/>
  <c r="AG252" i="3"/>
  <c r="AG188" i="3"/>
  <c r="AF174" i="3"/>
  <c r="AF175" i="3"/>
  <c r="AF177" i="3"/>
  <c r="AF78" i="3"/>
  <c r="AG77" i="3"/>
  <c r="AG78" i="3"/>
  <c r="AK202" i="3"/>
  <c r="AF26" i="3"/>
  <c r="AH72" i="3"/>
  <c r="AH71" i="3"/>
  <c r="AH75" i="3"/>
  <c r="AH70" i="3"/>
  <c r="AH74" i="3"/>
  <c r="AF254" i="3"/>
  <c r="AG254" i="3"/>
  <c r="AF209" i="3"/>
  <c r="AF214" i="3"/>
  <c r="AG201" i="3"/>
  <c r="AG209" i="3"/>
  <c r="AG214" i="3"/>
  <c r="AF112" i="3"/>
  <c r="AG111" i="3"/>
  <c r="AG112" i="3"/>
  <c r="AF126" i="3"/>
  <c r="AG125" i="3"/>
  <c r="AG126" i="3"/>
  <c r="AH119" i="3"/>
  <c r="AH121" i="3"/>
  <c r="AH118" i="3"/>
  <c r="AH122" i="3"/>
  <c r="AH103" i="3"/>
  <c r="AH107" i="3"/>
  <c r="AH104" i="3"/>
  <c r="AH108" i="3"/>
  <c r="AH105" i="3"/>
  <c r="AF179" i="3"/>
  <c r="AF37" i="3"/>
  <c r="AG37" i="3"/>
  <c r="AF27" i="3"/>
  <c r="AG27" i="3"/>
  <c r="AG28" i="3"/>
  <c r="AH19" i="3"/>
  <c r="AK257" i="3"/>
  <c r="AL257" i="3"/>
  <c r="AL202" i="3"/>
  <c r="AH20" i="3"/>
  <c r="AF149" i="3"/>
  <c r="AH22" i="3"/>
  <c r="AH123" i="3"/>
  <c r="AH109" i="3"/>
  <c r="AF146" i="3"/>
  <c r="AH76" i="3"/>
  <c r="AH18" i="3"/>
  <c r="AH23" i="3"/>
  <c r="AH170" i="3"/>
  <c r="AH127" i="3"/>
  <c r="AH125" i="3"/>
  <c r="AH24" i="3"/>
  <c r="AH26" i="3"/>
  <c r="AH188" i="3"/>
  <c r="AH252" i="3"/>
  <c r="AH79" i="3"/>
  <c r="AH77" i="3"/>
  <c r="Q242" i="3"/>
  <c r="Q38" i="3"/>
  <c r="Q43" i="3"/>
  <c r="Q154" i="3"/>
  <c r="AH201" i="3"/>
  <c r="AH113" i="3"/>
  <c r="AH111" i="3"/>
  <c r="AG150" i="3"/>
  <c r="AF28" i="3"/>
  <c r="AH149" i="3"/>
  <c r="Q41" i="3"/>
  <c r="Q42" i="3"/>
  <c r="AH126" i="3"/>
  <c r="R151" i="3"/>
  <c r="Q258" i="3"/>
  <c r="Q217" i="3"/>
  <c r="AI118" i="3"/>
  <c r="AI122" i="3"/>
  <c r="AI121" i="3"/>
  <c r="AI119" i="3"/>
  <c r="AF150" i="3"/>
  <c r="AH209" i="3"/>
  <c r="AH214" i="3"/>
  <c r="AH254" i="3"/>
  <c r="AH112" i="3"/>
  <c r="AH146" i="3"/>
  <c r="AH78" i="3"/>
  <c r="AH174" i="3"/>
  <c r="AH175" i="3"/>
  <c r="AH177" i="3"/>
  <c r="AI108" i="3"/>
  <c r="AI107" i="3"/>
  <c r="AI104" i="3"/>
  <c r="AI103" i="3"/>
  <c r="AI105" i="3"/>
  <c r="AI75" i="3"/>
  <c r="AI74" i="3"/>
  <c r="AI71" i="3"/>
  <c r="AI72" i="3"/>
  <c r="AI70" i="3"/>
  <c r="AH179" i="3"/>
  <c r="AH37" i="3"/>
  <c r="AH27" i="3"/>
  <c r="R217" i="3"/>
  <c r="R220" i="3"/>
  <c r="R221" i="3"/>
  <c r="Q220" i="3"/>
  <c r="AI76" i="3"/>
  <c r="AI18" i="3"/>
  <c r="AI20" i="3"/>
  <c r="AI19" i="3"/>
  <c r="Q278" i="3"/>
  <c r="Q155" i="3"/>
  <c r="Q291" i="3"/>
  <c r="AI123" i="3"/>
  <c r="AI22" i="3"/>
  <c r="R242" i="3"/>
  <c r="R258" i="3"/>
  <c r="AI109" i="3"/>
  <c r="AI23" i="3"/>
  <c r="AI79" i="3"/>
  <c r="AI77" i="3"/>
  <c r="Q156" i="3"/>
  <c r="R278" i="3"/>
  <c r="R155" i="3"/>
  <c r="R291" i="3"/>
  <c r="AI201" i="3"/>
  <c r="AI170" i="3"/>
  <c r="Q221" i="3"/>
  <c r="Q234" i="3"/>
  <c r="AI127" i="3"/>
  <c r="AI125" i="3"/>
  <c r="AH28" i="3"/>
  <c r="R154" i="3"/>
  <c r="R39" i="3"/>
  <c r="R41" i="3"/>
  <c r="AI113" i="3"/>
  <c r="AI111" i="3"/>
  <c r="AI24" i="3"/>
  <c r="AI26" i="3"/>
  <c r="AI188" i="3"/>
  <c r="AI252" i="3"/>
  <c r="AJ105" i="3"/>
  <c r="AJ108" i="3"/>
  <c r="AJ104" i="3"/>
  <c r="AJ103" i="3"/>
  <c r="AJ107" i="3"/>
  <c r="AI126" i="3"/>
  <c r="AI209" i="3"/>
  <c r="AI214" i="3"/>
  <c r="AI254" i="3"/>
  <c r="AJ119" i="3"/>
  <c r="AJ118" i="3"/>
  <c r="AJ121" i="3"/>
  <c r="AJ122" i="3"/>
  <c r="R280" i="3"/>
  <c r="R156" i="3"/>
  <c r="AI149" i="3"/>
  <c r="AH150" i="3"/>
  <c r="AI174" i="3"/>
  <c r="AI175" i="3"/>
  <c r="AI177" i="3"/>
  <c r="AI146" i="3"/>
  <c r="AI78" i="3"/>
  <c r="Q186" i="3"/>
  <c r="Q191" i="3"/>
  <c r="R191" i="3"/>
  <c r="Q196" i="3"/>
  <c r="R42" i="3"/>
  <c r="AI112" i="3"/>
  <c r="AJ74" i="3"/>
  <c r="AJ70" i="3"/>
  <c r="AJ75" i="3"/>
  <c r="AJ72" i="3"/>
  <c r="AJ71" i="3"/>
  <c r="AJ22" i="3"/>
  <c r="AI27" i="3"/>
  <c r="AI179" i="3"/>
  <c r="AI37" i="3"/>
  <c r="AJ19" i="3"/>
  <c r="R196" i="3"/>
  <c r="Q262" i="3"/>
  <c r="R262" i="3"/>
  <c r="AJ23" i="3"/>
  <c r="AJ123" i="3"/>
  <c r="AJ109" i="3"/>
  <c r="AJ20" i="3"/>
  <c r="Q260" i="3"/>
  <c r="R186" i="3"/>
  <c r="AJ18" i="3"/>
  <c r="AJ76" i="3"/>
  <c r="AI28" i="3"/>
  <c r="Q263" i="3"/>
  <c r="Q275" i="3"/>
  <c r="Q277" i="3"/>
  <c r="R260" i="3"/>
  <c r="R263" i="3"/>
  <c r="R275" i="3"/>
  <c r="R277" i="3"/>
  <c r="AJ170" i="3"/>
  <c r="AJ24" i="3"/>
  <c r="AJ26" i="3"/>
  <c r="AJ188" i="3"/>
  <c r="AJ252" i="3"/>
  <c r="AJ127" i="3"/>
  <c r="AJ125" i="3"/>
  <c r="AJ79" i="3"/>
  <c r="AJ77" i="3"/>
  <c r="AJ113" i="3"/>
  <c r="AJ111" i="3"/>
  <c r="AJ201" i="3"/>
  <c r="AJ126" i="3"/>
  <c r="AK121" i="3"/>
  <c r="AK122" i="3"/>
  <c r="AK119" i="3"/>
  <c r="AK118" i="3"/>
  <c r="AI150" i="3"/>
  <c r="AK70" i="3"/>
  <c r="AK74" i="3"/>
  <c r="AK75" i="3"/>
  <c r="AK72" i="3"/>
  <c r="AK71" i="3"/>
  <c r="AJ174" i="3"/>
  <c r="AJ175" i="3"/>
  <c r="AJ177" i="3"/>
  <c r="Q185" i="3"/>
  <c r="Q285" i="3"/>
  <c r="Q3" i="3"/>
  <c r="Q4" i="3"/>
  <c r="AJ209" i="3"/>
  <c r="AJ214" i="3"/>
  <c r="AJ254" i="3"/>
  <c r="AJ146" i="3"/>
  <c r="AJ78" i="3"/>
  <c r="S276" i="3"/>
  <c r="R3" i="3"/>
  <c r="R4" i="3"/>
  <c r="W276" i="3"/>
  <c r="AJ112" i="3"/>
  <c r="AK103" i="3"/>
  <c r="AK104" i="3"/>
  <c r="AK107" i="3"/>
  <c r="AK108" i="3"/>
  <c r="AK105" i="3"/>
  <c r="AJ149" i="3"/>
  <c r="AK123" i="3"/>
  <c r="AK127" i="3"/>
  <c r="AJ27" i="3"/>
  <c r="AJ179" i="3"/>
  <c r="AJ37" i="3"/>
  <c r="S30" i="3"/>
  <c r="Q282" i="3"/>
  <c r="Q284" i="3"/>
  <c r="R185" i="3"/>
  <c r="R285" i="3"/>
  <c r="Q190" i="3"/>
  <c r="Q199" i="3"/>
  <c r="Q222" i="3"/>
  <c r="AK19" i="3"/>
  <c r="AL19" i="3"/>
  <c r="AK109" i="3"/>
  <c r="AK20" i="3"/>
  <c r="AL20" i="3"/>
  <c r="AK23" i="3"/>
  <c r="AK22" i="3"/>
  <c r="AK18" i="3"/>
  <c r="AK76" i="3"/>
  <c r="AK125" i="3"/>
  <c r="AL125" i="3"/>
  <c r="AL126" i="3"/>
  <c r="AK188" i="3"/>
  <c r="AK24" i="3"/>
  <c r="AK26" i="3"/>
  <c r="AL18" i="3"/>
  <c r="AK170" i="3"/>
  <c r="AL23" i="3"/>
  <c r="S32" i="3"/>
  <c r="AK113" i="3"/>
  <c r="AK111" i="3"/>
  <c r="AK201" i="3"/>
  <c r="AL22" i="3"/>
  <c r="R282" i="3"/>
  <c r="R284" i="3"/>
  <c r="R190" i="3"/>
  <c r="R199" i="3"/>
  <c r="R222" i="3"/>
  <c r="R152" i="3"/>
  <c r="AK79" i="3"/>
  <c r="AK77" i="3"/>
  <c r="AJ28" i="3"/>
  <c r="AK126" i="3"/>
  <c r="S33" i="3"/>
  <c r="S34" i="3"/>
  <c r="AJ150" i="3"/>
  <c r="AK174" i="3"/>
  <c r="AK175" i="3"/>
  <c r="AK177" i="3"/>
  <c r="AK254" i="3"/>
  <c r="AL254" i="3"/>
  <c r="AK209" i="3"/>
  <c r="AK214" i="3"/>
  <c r="AL201" i="3"/>
  <c r="AL209" i="3"/>
  <c r="AL214" i="3"/>
  <c r="AL24" i="3"/>
  <c r="AL26" i="3"/>
  <c r="AK112" i="3"/>
  <c r="AL111" i="3"/>
  <c r="AL112" i="3"/>
  <c r="AK149" i="3"/>
  <c r="AK146" i="3"/>
  <c r="AK78" i="3"/>
  <c r="AL77" i="3"/>
  <c r="AL78" i="3"/>
  <c r="AK252" i="3"/>
  <c r="AL252" i="3"/>
  <c r="AL188" i="3"/>
  <c r="AK27" i="3"/>
  <c r="AK179" i="3"/>
  <c r="AK37" i="3"/>
  <c r="AL37" i="3"/>
  <c r="S242" i="3"/>
  <c r="S36" i="3"/>
  <c r="AL149" i="3"/>
  <c r="S38" i="3"/>
  <c r="S43" i="3"/>
  <c r="S154" i="3"/>
  <c r="AL27" i="3"/>
  <c r="AL28" i="3"/>
  <c r="AK28" i="3"/>
  <c r="S41" i="3"/>
  <c r="S42" i="3"/>
  <c r="S258" i="3"/>
  <c r="S217" i="3"/>
  <c r="S278" i="3"/>
  <c r="S155" i="3"/>
  <c r="S291" i="3"/>
  <c r="S220" i="3"/>
  <c r="AL150" i="3"/>
  <c r="AK150" i="3"/>
  <c r="S221" i="3"/>
  <c r="S234" i="3"/>
  <c r="S156" i="3"/>
  <c r="S191" i="3"/>
  <c r="S186" i="3"/>
  <c r="S196" i="3"/>
  <c r="S260" i="3"/>
  <c r="S262" i="3"/>
  <c r="S263" i="3"/>
  <c r="S275" i="3"/>
  <c r="S277" i="3"/>
  <c r="T276" i="3"/>
  <c r="S185" i="3"/>
  <c r="S285" i="3"/>
  <c r="S3" i="3"/>
  <c r="S4" i="3"/>
  <c r="S190" i="3"/>
  <c r="S199" i="3"/>
  <c r="S222" i="3"/>
  <c r="S282" i="3"/>
  <c r="S284" i="3"/>
  <c r="T30" i="3"/>
  <c r="T32" i="3"/>
  <c r="T33" i="3"/>
  <c r="T34" i="3"/>
  <c r="T242" i="3"/>
  <c r="T36" i="3"/>
  <c r="T38" i="3"/>
  <c r="T43" i="3"/>
  <c r="T154" i="3"/>
  <c r="T41" i="3"/>
  <c r="T42" i="3"/>
  <c r="T258" i="3"/>
  <c r="T217" i="3"/>
  <c r="T220" i="3"/>
  <c r="T278" i="3"/>
  <c r="T155" i="3"/>
  <c r="T291" i="3"/>
  <c r="T156" i="3"/>
  <c r="T221" i="3"/>
  <c r="T234" i="3"/>
  <c r="T186" i="3"/>
  <c r="T191" i="3"/>
  <c r="T196" i="3"/>
  <c r="T260" i="3"/>
  <c r="T262" i="3"/>
  <c r="T263" i="3"/>
  <c r="T275" i="3"/>
  <c r="T277" i="3"/>
  <c r="T185" i="3"/>
  <c r="T285" i="3"/>
  <c r="T3" i="3"/>
  <c r="T4" i="3"/>
  <c r="U276" i="3"/>
  <c r="U30" i="3"/>
  <c r="T282" i="3"/>
  <c r="T284" i="3"/>
  <c r="T190" i="3"/>
  <c r="T199" i="3"/>
  <c r="T222" i="3"/>
  <c r="U32" i="3"/>
  <c r="U33" i="3"/>
  <c r="U38" i="3"/>
  <c r="U43" i="3"/>
  <c r="U154" i="3"/>
  <c r="U34" i="3"/>
  <c r="U242" i="3"/>
  <c r="U36" i="3"/>
  <c r="U42" i="3"/>
  <c r="U41" i="3"/>
  <c r="U258" i="3"/>
  <c r="U217" i="3"/>
  <c r="U220" i="3"/>
  <c r="U278" i="3"/>
  <c r="U155" i="3"/>
  <c r="U291" i="3"/>
  <c r="U156" i="3"/>
  <c r="U221" i="3"/>
  <c r="U234" i="3"/>
  <c r="U186" i="3"/>
  <c r="U191" i="3"/>
  <c r="U196" i="3"/>
  <c r="U260" i="3"/>
  <c r="U262" i="3"/>
  <c r="U263" i="3"/>
  <c r="U275" i="3"/>
  <c r="U277" i="3"/>
  <c r="U185" i="3"/>
  <c r="U285" i="3"/>
  <c r="V276" i="3"/>
  <c r="U3" i="3"/>
  <c r="U4" i="3"/>
  <c r="V30" i="3"/>
  <c r="U282" i="3"/>
  <c r="U284" i="3"/>
  <c r="U190" i="3"/>
  <c r="U199" i="3"/>
  <c r="U222" i="3"/>
  <c r="V32" i="3"/>
  <c r="W30" i="3"/>
  <c r="V33" i="3"/>
  <c r="V34" i="3"/>
  <c r="W32" i="3"/>
  <c r="V242" i="3"/>
  <c r="V36" i="3"/>
  <c r="W33" i="3"/>
  <c r="W34" i="3"/>
  <c r="V38" i="3"/>
  <c r="V43" i="3"/>
  <c r="V154" i="3"/>
  <c r="W151" i="3"/>
  <c r="W38" i="3"/>
  <c r="W242" i="3"/>
  <c r="W258" i="3"/>
  <c r="W36" i="3"/>
  <c r="V42" i="3"/>
  <c r="V41" i="3"/>
  <c r="V258" i="3"/>
  <c r="V217" i="3"/>
  <c r="W291" i="3"/>
  <c r="W155" i="3"/>
  <c r="W217" i="3"/>
  <c r="W220" i="3"/>
  <c r="V220" i="3"/>
  <c r="V278" i="3"/>
  <c r="V291" i="3"/>
  <c r="V155" i="3"/>
  <c r="W40" i="3"/>
  <c r="W42" i="3"/>
  <c r="W39" i="3"/>
  <c r="W41" i="3"/>
  <c r="W43" i="3"/>
  <c r="W154" i="3"/>
  <c r="V221" i="3"/>
  <c r="V234" i="3"/>
  <c r="V156" i="3"/>
  <c r="W278" i="3"/>
  <c r="W221" i="3"/>
  <c r="W234" i="3"/>
  <c r="W280" i="3"/>
  <c r="W156" i="3"/>
  <c r="V191" i="3"/>
  <c r="W191" i="3"/>
  <c r="V186" i="3"/>
  <c r="V196" i="3"/>
  <c r="W196" i="3"/>
  <c r="V262" i="3"/>
  <c r="W262" i="3"/>
  <c r="V260" i="3"/>
  <c r="W186" i="3"/>
  <c r="V263" i="3"/>
  <c r="V275" i="3"/>
  <c r="V277" i="3"/>
  <c r="W260" i="3"/>
  <c r="W263" i="3"/>
  <c r="W275" i="3"/>
  <c r="W277" i="3"/>
  <c r="W3" i="3"/>
  <c r="W4" i="3"/>
  <c r="X276" i="3"/>
  <c r="AB276" i="3"/>
  <c r="V185" i="3"/>
  <c r="V285" i="3"/>
  <c r="V3" i="3"/>
  <c r="V4" i="3"/>
  <c r="X30" i="3"/>
  <c r="V282" i="3"/>
  <c r="V284" i="3"/>
  <c r="V190" i="3"/>
  <c r="V199" i="3"/>
  <c r="V222" i="3"/>
  <c r="W185" i="3"/>
  <c r="W285" i="3"/>
  <c r="W190" i="3"/>
  <c r="W199" i="3"/>
  <c r="W222" i="3"/>
  <c r="W282" i="3"/>
  <c r="W284" i="3"/>
  <c r="W152" i="3"/>
  <c r="X32" i="3"/>
  <c r="X33" i="3"/>
  <c r="X34" i="3"/>
  <c r="X242" i="3"/>
  <c r="X36" i="3"/>
  <c r="X38" i="3"/>
  <c r="X43" i="3"/>
  <c r="X154" i="3"/>
  <c r="X42" i="3"/>
  <c r="X41" i="3"/>
  <c r="X258" i="3"/>
  <c r="X217" i="3"/>
  <c r="X220" i="3"/>
  <c r="X278" i="3"/>
  <c r="X155" i="3"/>
  <c r="X291" i="3"/>
  <c r="X156" i="3"/>
  <c r="X221" i="3"/>
  <c r="X234" i="3"/>
  <c r="X191" i="3"/>
  <c r="X186" i="3"/>
  <c r="X196" i="3"/>
  <c r="X260" i="3"/>
  <c r="X262" i="3"/>
  <c r="X263" i="3"/>
  <c r="X275" i="3"/>
  <c r="X277" i="3"/>
  <c r="X185" i="3"/>
  <c r="X285" i="3"/>
  <c r="X3" i="3"/>
  <c r="X4" i="3"/>
  <c r="Y276" i="3"/>
  <c r="Y30" i="3"/>
  <c r="X190" i="3"/>
  <c r="X199" i="3"/>
  <c r="X222" i="3"/>
  <c r="X282" i="3"/>
  <c r="X284" i="3"/>
  <c r="Y32" i="3"/>
  <c r="Y33" i="3"/>
  <c r="Y34" i="3"/>
  <c r="Y242" i="3"/>
  <c r="Y36" i="3"/>
  <c r="Y38" i="3"/>
  <c r="Y43" i="3"/>
  <c r="Y154" i="3"/>
  <c r="Y42" i="3"/>
  <c r="Y41" i="3"/>
  <c r="Y258" i="3"/>
  <c r="Y217" i="3"/>
  <c r="Y220" i="3"/>
  <c r="Y155" i="3"/>
  <c r="Y278" i="3"/>
  <c r="Y291" i="3"/>
  <c r="Y156" i="3"/>
  <c r="Y221" i="3"/>
  <c r="Y234" i="3"/>
  <c r="Y191" i="3"/>
  <c r="Y186" i="3"/>
  <c r="Y196" i="3"/>
  <c r="Y260" i="3"/>
  <c r="Y262" i="3"/>
  <c r="Y263" i="3"/>
  <c r="Y275" i="3"/>
  <c r="Y277" i="3"/>
  <c r="Y185" i="3"/>
  <c r="Y285" i="3"/>
  <c r="Z276" i="3"/>
  <c r="Y3" i="3"/>
  <c r="Y4" i="3"/>
  <c r="Z30" i="3"/>
  <c r="Y282" i="3"/>
  <c r="Y284" i="3"/>
  <c r="Y190" i="3"/>
  <c r="Y199" i="3"/>
  <c r="Y222" i="3"/>
  <c r="Z32" i="3"/>
  <c r="Z33" i="3"/>
  <c r="Z34" i="3"/>
  <c r="Z242" i="3"/>
  <c r="Z36" i="3"/>
  <c r="Z38" i="3"/>
  <c r="Z43" i="3"/>
  <c r="Z154" i="3"/>
  <c r="Z42" i="3"/>
  <c r="Z41" i="3"/>
  <c r="Z258" i="3"/>
  <c r="Z217" i="3"/>
  <c r="Z220" i="3"/>
  <c r="Z278" i="3"/>
  <c r="Z155" i="3"/>
  <c r="Z291" i="3"/>
  <c r="Z156" i="3"/>
  <c r="Z221" i="3"/>
  <c r="Z234" i="3"/>
  <c r="Z186" i="3"/>
  <c r="Z191" i="3"/>
  <c r="Z196" i="3"/>
  <c r="Z262" i="3"/>
  <c r="Z260" i="3"/>
  <c r="Z263" i="3"/>
  <c r="Z275" i="3"/>
  <c r="Z277" i="3"/>
  <c r="Z185" i="3"/>
  <c r="Z285" i="3"/>
  <c r="AA276" i="3"/>
  <c r="Z3" i="3"/>
  <c r="Z4" i="3"/>
  <c r="AA30" i="3"/>
  <c r="Z282" i="3"/>
  <c r="Z284" i="3"/>
  <c r="Z190" i="3"/>
  <c r="Z199" i="3"/>
  <c r="Z222" i="3"/>
  <c r="AA32" i="3"/>
  <c r="AB30" i="3"/>
  <c r="AB32" i="3"/>
  <c r="AA33" i="3"/>
  <c r="AB33" i="3"/>
  <c r="AB34" i="3"/>
  <c r="AA38" i="3"/>
  <c r="AA43" i="3"/>
  <c r="AA154" i="3"/>
  <c r="AA34" i="3"/>
  <c r="AB242" i="3"/>
  <c r="AB258" i="3"/>
  <c r="AB36" i="3"/>
  <c r="AA242" i="3"/>
  <c r="AA36" i="3"/>
  <c r="AB151" i="3"/>
  <c r="AB38" i="3"/>
  <c r="AA258" i="3"/>
  <c r="AA217" i="3"/>
  <c r="AA41" i="3"/>
  <c r="AA42" i="3"/>
  <c r="AB40" i="3"/>
  <c r="AB43" i="3"/>
  <c r="AB154" i="3"/>
  <c r="AB39" i="3"/>
  <c r="AB41" i="3"/>
  <c r="AB155" i="3"/>
  <c r="AB291" i="3"/>
  <c r="AB42" i="3"/>
  <c r="AB217" i="3"/>
  <c r="AB220" i="3"/>
  <c r="AB221" i="3"/>
  <c r="AA220" i="3"/>
  <c r="AA278" i="3"/>
  <c r="AA155" i="3"/>
  <c r="AA291" i="3"/>
  <c r="AA156" i="3"/>
  <c r="AB278" i="3"/>
  <c r="AA221" i="3"/>
  <c r="AA234" i="3"/>
  <c r="AA191" i="3"/>
  <c r="AB191" i="3"/>
  <c r="AA186" i="3"/>
  <c r="AA196" i="3"/>
  <c r="AB156" i="3"/>
  <c r="AB280" i="3"/>
  <c r="AA260" i="3"/>
  <c r="AB186" i="3"/>
  <c r="AB196" i="3"/>
  <c r="AA262" i="3"/>
  <c r="AB262" i="3"/>
  <c r="AA263" i="3"/>
  <c r="AA275" i="3"/>
  <c r="AA277" i="3"/>
  <c r="AB260" i="3"/>
  <c r="AB263" i="3"/>
  <c r="AB275" i="3"/>
  <c r="AB277" i="3"/>
  <c r="AA185" i="3"/>
  <c r="AA285" i="3"/>
  <c r="AA3" i="3"/>
  <c r="AA4" i="3"/>
  <c r="AC276" i="3"/>
  <c r="AB3" i="3"/>
  <c r="AB4" i="3"/>
  <c r="AG276" i="3"/>
  <c r="AC30" i="3"/>
  <c r="AA190" i="3"/>
  <c r="AA199" i="3"/>
  <c r="AA222" i="3"/>
  <c r="AB185" i="3"/>
  <c r="AB285" i="3"/>
  <c r="AA282" i="3"/>
  <c r="AA284" i="3"/>
  <c r="AB282" i="3"/>
  <c r="AB284" i="3"/>
  <c r="AB190" i="3"/>
  <c r="AB199" i="3"/>
  <c r="AB222" i="3"/>
  <c r="AB152" i="3"/>
  <c r="AC32" i="3"/>
  <c r="AC33" i="3"/>
  <c r="AC34" i="3"/>
  <c r="AC242" i="3"/>
  <c r="AC36" i="3"/>
  <c r="AC38" i="3"/>
  <c r="AC43" i="3"/>
  <c r="AC154" i="3"/>
  <c r="AC41" i="3"/>
  <c r="AC42" i="3"/>
  <c r="AC258" i="3"/>
  <c r="AC217" i="3"/>
  <c r="AC220" i="3"/>
  <c r="AC278" i="3"/>
  <c r="AC155" i="3"/>
  <c r="AC291" i="3"/>
  <c r="AC156" i="3"/>
  <c r="AC221" i="3"/>
  <c r="AC234" i="3"/>
  <c r="AC186" i="3"/>
  <c r="AC191" i="3"/>
  <c r="AC196" i="3"/>
  <c r="AC260" i="3"/>
  <c r="AC262" i="3"/>
  <c r="AC263" i="3"/>
  <c r="AC275" i="3"/>
  <c r="AC277" i="3"/>
  <c r="AD276" i="3"/>
  <c r="AC3" i="3"/>
  <c r="AC4" i="3"/>
  <c r="AC185" i="3"/>
  <c r="AC285" i="3"/>
  <c r="AC190" i="3"/>
  <c r="AC199" i="3"/>
  <c r="AC222" i="3"/>
  <c r="AC282" i="3"/>
  <c r="AC284" i="3"/>
  <c r="AD30" i="3"/>
  <c r="AD32" i="3"/>
  <c r="AD33" i="3"/>
  <c r="AD34" i="3"/>
  <c r="AD242" i="3"/>
  <c r="AD36" i="3"/>
  <c r="AD38" i="3"/>
  <c r="AD43" i="3"/>
  <c r="AD154" i="3"/>
  <c r="AD41" i="3"/>
  <c r="AD42" i="3"/>
  <c r="AD258" i="3"/>
  <c r="AD217" i="3"/>
  <c r="AD220" i="3"/>
  <c r="AD278" i="3"/>
  <c r="AD155" i="3"/>
  <c r="AD291" i="3"/>
  <c r="AD156" i="3"/>
  <c r="AD221" i="3"/>
  <c r="AD234" i="3"/>
  <c r="AD186" i="3"/>
  <c r="AD191" i="3"/>
  <c r="AD196" i="3"/>
  <c r="AD262" i="3"/>
  <c r="AD260" i="3"/>
  <c r="AD263" i="3"/>
  <c r="AD275" i="3"/>
  <c r="AD277" i="3"/>
  <c r="AD185" i="3"/>
  <c r="AD285" i="3"/>
  <c r="AE276" i="3"/>
  <c r="AD3" i="3"/>
  <c r="AD4" i="3"/>
  <c r="AE30" i="3"/>
  <c r="AD190" i="3"/>
  <c r="AD199" i="3"/>
  <c r="AD222" i="3"/>
  <c r="AD282" i="3"/>
  <c r="AD284" i="3"/>
  <c r="AE32" i="3"/>
  <c r="AE33" i="3"/>
  <c r="AE34" i="3"/>
  <c r="AE242" i="3"/>
  <c r="AE36" i="3"/>
  <c r="AE38" i="3"/>
  <c r="AE43" i="3"/>
  <c r="AE154" i="3"/>
  <c r="AE42" i="3"/>
  <c r="AE41" i="3"/>
  <c r="AE258" i="3"/>
  <c r="AE217" i="3"/>
  <c r="AE220" i="3"/>
  <c r="AE278" i="3"/>
  <c r="AE291" i="3"/>
  <c r="AE155" i="3"/>
  <c r="AE156" i="3"/>
  <c r="AE221" i="3"/>
  <c r="AE234" i="3"/>
  <c r="AE186" i="3"/>
  <c r="AE191" i="3"/>
  <c r="AE196" i="3"/>
  <c r="AE262" i="3"/>
  <c r="AE260" i="3"/>
  <c r="AE263" i="3"/>
  <c r="AE275" i="3"/>
  <c r="AE277" i="3"/>
  <c r="AF276" i="3"/>
  <c r="AE185" i="3"/>
  <c r="AE285" i="3"/>
  <c r="AE3" i="3"/>
  <c r="AE4" i="3"/>
  <c r="AF30" i="3"/>
  <c r="AE282" i="3"/>
  <c r="AE284" i="3"/>
  <c r="AE190" i="3"/>
  <c r="AE199" i="3"/>
  <c r="AE222" i="3"/>
  <c r="AF32" i="3"/>
  <c r="AG30" i="3"/>
  <c r="AG32" i="3"/>
  <c r="AF33" i="3"/>
  <c r="AF34" i="3"/>
  <c r="AF242" i="3"/>
  <c r="AF36" i="3"/>
  <c r="AG33" i="3"/>
  <c r="AG34" i="3"/>
  <c r="AF38" i="3"/>
  <c r="AF43" i="3"/>
  <c r="AF154" i="3"/>
  <c r="AG151" i="3"/>
  <c r="AG38" i="3"/>
  <c r="AG242" i="3"/>
  <c r="AG258" i="3"/>
  <c r="AG36" i="3"/>
  <c r="AF41" i="3"/>
  <c r="AF42" i="3"/>
  <c r="AF258" i="3"/>
  <c r="AF217" i="3"/>
  <c r="AG217" i="3"/>
  <c r="AG220" i="3"/>
  <c r="AG221" i="3"/>
  <c r="AF220" i="3"/>
  <c r="AG155" i="3"/>
  <c r="AG291" i="3"/>
  <c r="AF278" i="3"/>
  <c r="AF155" i="3"/>
  <c r="AF291" i="3"/>
  <c r="AG40" i="3"/>
  <c r="AG42" i="3"/>
  <c r="AG39" i="3"/>
  <c r="AG41" i="3"/>
  <c r="AG43" i="3"/>
  <c r="AG154" i="3"/>
  <c r="AF156" i="3"/>
  <c r="AG278" i="3"/>
  <c r="AF221" i="3"/>
  <c r="AF234" i="3"/>
  <c r="AF186" i="3"/>
  <c r="AF191" i="3"/>
  <c r="AG191" i="3"/>
  <c r="AF196" i="3"/>
  <c r="AG280" i="3"/>
  <c r="AG156" i="3"/>
  <c r="AG196" i="3"/>
  <c r="AF262" i="3"/>
  <c r="AG262" i="3"/>
  <c r="AF260" i="3"/>
  <c r="AG186" i="3"/>
  <c r="AF263" i="3"/>
  <c r="AF275" i="3"/>
  <c r="AF277" i="3"/>
  <c r="AG260" i="3"/>
  <c r="AG263" i="3"/>
  <c r="AG275" i="3"/>
  <c r="AG277" i="3"/>
  <c r="AH276" i="3"/>
  <c r="AG3" i="3"/>
  <c r="AG4" i="3"/>
  <c r="AL276" i="3"/>
  <c r="AF185" i="3"/>
  <c r="AF285" i="3"/>
  <c r="AF3" i="3"/>
  <c r="AF4" i="3"/>
  <c r="AH30" i="3"/>
  <c r="AG185" i="3"/>
  <c r="AG285" i="3"/>
  <c r="AF190" i="3"/>
  <c r="AF199" i="3"/>
  <c r="AF222" i="3"/>
  <c r="AF282" i="3"/>
  <c r="AF284" i="3"/>
  <c r="AG282" i="3"/>
  <c r="AG284" i="3"/>
  <c r="AG190" i="3"/>
  <c r="AG199" i="3"/>
  <c r="AG222" i="3"/>
  <c r="AG152" i="3"/>
  <c r="AH32" i="3"/>
  <c r="AH33" i="3"/>
  <c r="AH38" i="3"/>
  <c r="AH43" i="3"/>
  <c r="AH154" i="3"/>
  <c r="AH34" i="3"/>
  <c r="AH242" i="3"/>
  <c r="AH36" i="3"/>
  <c r="AH42" i="3"/>
  <c r="AH41" i="3"/>
  <c r="AH258" i="3"/>
  <c r="AH217" i="3"/>
  <c r="AH220" i="3"/>
  <c r="AH278" i="3"/>
  <c r="AH155" i="3"/>
  <c r="AH291" i="3"/>
  <c r="AH156" i="3"/>
  <c r="AH221" i="3"/>
  <c r="AH234" i="3"/>
  <c r="AH186" i="3"/>
  <c r="AH191" i="3"/>
  <c r="AH196" i="3"/>
  <c r="AH262" i="3"/>
  <c r="AH260" i="3"/>
  <c r="AH263" i="3"/>
  <c r="AH275" i="3"/>
  <c r="AH277" i="3"/>
  <c r="AH185" i="3"/>
  <c r="AH285" i="3"/>
  <c r="AH3" i="3"/>
  <c r="AH4" i="3"/>
  <c r="AI276" i="3"/>
  <c r="AI30" i="3"/>
  <c r="AH282" i="3"/>
  <c r="AH284" i="3"/>
  <c r="AH190" i="3"/>
  <c r="AH199" i="3"/>
  <c r="AH222" i="3"/>
  <c r="AI32" i="3"/>
  <c r="AI33" i="3"/>
  <c r="AI34" i="3"/>
  <c r="AI242" i="3"/>
  <c r="AI36" i="3"/>
  <c r="AI38" i="3"/>
  <c r="AI43" i="3"/>
  <c r="AI154" i="3"/>
  <c r="AI41" i="3"/>
  <c r="AI42" i="3"/>
  <c r="AI258" i="3"/>
  <c r="AI217" i="3"/>
  <c r="AI220" i="3"/>
  <c r="AI278" i="3"/>
  <c r="AI155" i="3"/>
  <c r="AI291" i="3"/>
  <c r="AI156" i="3"/>
  <c r="AI221" i="3"/>
  <c r="AI234" i="3"/>
  <c r="AI191" i="3"/>
  <c r="AI186" i="3"/>
  <c r="AI196" i="3"/>
  <c r="AI260" i="3"/>
  <c r="AI262" i="3"/>
  <c r="AI263" i="3"/>
  <c r="AI275" i="3"/>
  <c r="AI277" i="3"/>
  <c r="AI185" i="3"/>
  <c r="AI285" i="3"/>
  <c r="AJ276" i="3"/>
  <c r="AI3" i="3"/>
  <c r="AI4" i="3"/>
  <c r="AJ30" i="3"/>
  <c r="AI282" i="3"/>
  <c r="AI284" i="3"/>
  <c r="AI190" i="3"/>
  <c r="AI199" i="3"/>
  <c r="AI222" i="3"/>
  <c r="AJ32" i="3"/>
  <c r="AJ33" i="3"/>
  <c r="AJ34" i="3"/>
  <c r="AJ242" i="3"/>
  <c r="AJ36" i="3"/>
  <c r="AJ38" i="3"/>
  <c r="AJ43" i="3"/>
  <c r="AJ154" i="3"/>
  <c r="AJ41" i="3"/>
  <c r="AJ42" i="3"/>
  <c r="AJ258" i="3"/>
  <c r="AJ217" i="3"/>
  <c r="AJ278" i="3"/>
  <c r="AJ155" i="3"/>
  <c r="AJ291" i="3"/>
  <c r="AJ220" i="3"/>
  <c r="AJ221" i="3"/>
  <c r="AJ234" i="3"/>
  <c r="AJ156" i="3"/>
  <c r="AJ191" i="3"/>
  <c r="AJ186" i="3"/>
  <c r="AJ196" i="3"/>
  <c r="AJ260" i="3"/>
  <c r="AJ262" i="3"/>
  <c r="AJ263" i="3"/>
  <c r="AJ275" i="3"/>
  <c r="AJ277" i="3"/>
  <c r="AJ185" i="3"/>
  <c r="AJ285" i="3"/>
  <c r="AK276" i="3"/>
  <c r="AJ3" i="3"/>
  <c r="AJ4" i="3"/>
  <c r="AK30" i="3"/>
  <c r="AJ282" i="3"/>
  <c r="AJ284" i="3"/>
  <c r="AJ190" i="3"/>
  <c r="AJ199" i="3"/>
  <c r="AJ222" i="3"/>
  <c r="AK32" i="3"/>
  <c r="AL30" i="3"/>
  <c r="AL32" i="3"/>
  <c r="AK33" i="3"/>
  <c r="AK34" i="3"/>
  <c r="AK242" i="3"/>
  <c r="AK36" i="3"/>
  <c r="AL33" i="3"/>
  <c r="AL34" i="3"/>
  <c r="AK38" i="3"/>
  <c r="AK43" i="3"/>
  <c r="AK154" i="3"/>
  <c r="AL242" i="3"/>
  <c r="AL258" i="3"/>
  <c r="AL36" i="3"/>
  <c r="AL151" i="3"/>
  <c r="AL38" i="3"/>
  <c r="AK42" i="3"/>
  <c r="AK41" i="3"/>
  <c r="AK258" i="3"/>
  <c r="AK217" i="3"/>
  <c r="AK278" i="3"/>
  <c r="AK155" i="3"/>
  <c r="AK291" i="3"/>
  <c r="AL217" i="3"/>
  <c r="AL220" i="3"/>
  <c r="AL221" i="3"/>
  <c r="AK220" i="3"/>
  <c r="AL39" i="3"/>
  <c r="AL41" i="3"/>
  <c r="AL40" i="3"/>
  <c r="AL43" i="3"/>
  <c r="AL154" i="3"/>
  <c r="C324" i="3"/>
  <c r="AL155" i="3"/>
  <c r="AL291" i="3"/>
  <c r="AL42" i="3"/>
  <c r="AK221" i="3"/>
  <c r="AK234" i="3"/>
  <c r="AK156" i="3"/>
  <c r="AL278" i="3"/>
  <c r="AL156" i="3"/>
  <c r="AL280" i="3"/>
  <c r="C325" i="3"/>
  <c r="C327" i="3"/>
  <c r="AK191" i="3"/>
  <c r="AL191" i="3"/>
  <c r="AK186" i="3"/>
  <c r="AK196" i="3"/>
  <c r="AK260" i="3"/>
  <c r="AL186" i="3"/>
  <c r="AL196" i="3"/>
  <c r="AK262" i="3"/>
  <c r="AL262" i="3"/>
  <c r="C301" i="3"/>
  <c r="C8" i="3"/>
  <c r="C9" i="3"/>
  <c r="C332" i="3"/>
  <c r="C334" i="3"/>
  <c r="C333" i="3"/>
  <c r="AK263" i="3"/>
  <c r="AK275" i="3"/>
  <c r="AK277" i="3"/>
  <c r="AL260" i="3"/>
  <c r="AL263" i="3"/>
  <c r="AL275" i="3"/>
  <c r="AL277" i="3"/>
  <c r="AL3" i="3"/>
  <c r="AL4" i="3"/>
  <c r="C10" i="3"/>
  <c r="AK3" i="3"/>
  <c r="AK4" i="3"/>
  <c r="AK185" i="3"/>
  <c r="AK285" i="3"/>
  <c r="AK190" i="3"/>
  <c r="AK199" i="3"/>
  <c r="AK222" i="3"/>
  <c r="AL185" i="3"/>
  <c r="AL285" i="3"/>
  <c r="AK282" i="3"/>
  <c r="AK284" i="3"/>
  <c r="AL190" i="3"/>
  <c r="AL199" i="3"/>
  <c r="AL222" i="3"/>
  <c r="AL282" i="3"/>
  <c r="AL284" i="3"/>
  <c r="AL15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Gutenberg Research</author>
    <author>William Barber</author>
    <author>GE User</author>
    <author>Owner</author>
  </authors>
  <commentList>
    <comment ref="C10" authorId="0" shapeId="0" xr:uid="{198B7886-F629-4EE4-A7EF-0E3CC6654E7B}">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B18" authorId="0" shapeId="0" xr:uid="{B9B1F949-59C3-4F66-B6B5-C4844C014784}">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L23" authorId="1" shapeId="0" xr:uid="{E453104D-CE9A-4D5C-BCD8-EBF884410C3E}">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B25"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H31" authorId="0" shapeId="0" xr:uid="{71A66D94-4905-4A14-B887-AFD5921667B9}">
      <text>
        <r>
          <rPr>
            <b/>
            <sz val="9"/>
            <color indexed="81"/>
            <rFont val="Tahoma"/>
            <family val="2"/>
          </rPr>
          <t>F3Q2019 Earnings call (7/25/2019) guidance for FY2019:</t>
        </r>
        <r>
          <rPr>
            <sz val="9"/>
            <color indexed="81"/>
            <rFont val="Tahoma"/>
            <family val="2"/>
          </rPr>
          <t xml:space="preserve"> Interest Expense guided to $330M.</t>
        </r>
      </text>
    </comment>
    <comment ref="M31" authorId="0" shapeId="0" xr:uid="{357846B1-DCC2-4E4F-8B9F-ABDAA337CD5D}">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H42" authorId="0" shapeId="0" xr:uid="{DF6AC6E6-CF62-4BDB-9DE1-43B44074A433}">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42" authorId="0" shapeId="0" xr:uid="{48A4BEE2-4BB6-473A-AFEE-59BCA327A54A}">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42" authorId="0" shapeId="0" xr:uid="{8DB55CC6-CC86-4C75-81B1-95DFDFEDA794}">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H43" authorId="0" shapeId="0" xr:uid="{F7FB76D6-F1C4-4BDC-B91F-D34DB0107C07}">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43" authorId="0" shapeId="0" xr:uid="{F046C3E8-E96A-4E61-A868-2A5D67E2D124}">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43" authorId="0" shapeId="0" xr:uid="{6E79E2F0-A39C-4AE1-9A77-4F98B2A50325}">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L44" authorId="0" shapeId="0" xr:uid="{17FD324E-BE01-444B-B820-F34490837076}">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L50" authorId="2" shapeId="0" xr:uid="{F4506BD1-DD63-4CCC-8B2C-17BF02DC01A7}">
      <text>
        <r>
          <rPr>
            <b/>
            <sz val="9"/>
            <color indexed="81"/>
            <rFont val="Tahoma"/>
            <family val="2"/>
          </rPr>
          <t>William Barber:</t>
        </r>
        <r>
          <rPr>
            <sz val="9"/>
            <color indexed="81"/>
            <rFont val="Tahoma"/>
            <family val="2"/>
          </rPr>
          <t xml:space="preserve">
Starbucks Pick-Up stores have a positive impact here.</t>
        </r>
      </text>
    </comment>
    <comment ref="R50" authorId="2" shapeId="0" xr:uid="{70BF8780-C76E-4762-9531-B381B4C875AF}">
      <text>
        <r>
          <rPr>
            <b/>
            <sz val="9"/>
            <color indexed="81"/>
            <rFont val="Tahoma"/>
            <family val="2"/>
          </rPr>
          <t>William Barber:</t>
        </r>
        <r>
          <rPr>
            <sz val="9"/>
            <color indexed="81"/>
            <rFont val="Tahoma"/>
            <family val="2"/>
          </rPr>
          <t xml:space="preserve">
We plan to accelerate the development of over 50 of [Starbucks pickup] stores over the next 12 to 18 months with a view to have several hundred in the US over the next three to five years.
I modeled additional pick-up stores opening in this year and onwards.</t>
        </r>
      </text>
    </comment>
    <comment ref="L55" authorId="0" shapeId="0" xr:uid="{8D89D6CD-96E4-4E98-9056-65776388969F}">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N55" authorId="2" shapeId="0" xr:uid="{4DD72D72-3399-411B-935F-136EEF091F9A}">
      <text>
        <r>
          <rPr>
            <b/>
            <sz val="9"/>
            <color indexed="81"/>
            <rFont val="Tahoma"/>
            <family val="2"/>
          </rPr>
          <t>William Barber:</t>
        </r>
        <r>
          <rPr>
            <sz val="9"/>
            <color indexed="81"/>
            <rFont val="Tahoma"/>
            <family val="2"/>
          </rPr>
          <t xml:space="preserve">
A combination of delivers transactions and pick-up orders will increase comp-store sales.</t>
        </r>
      </text>
    </comment>
    <comment ref="O55" authorId="0" shapeId="0" xr:uid="{6877058F-4827-436F-8E7E-0F5233BC44E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H68" authorId="0" shapeId="0" xr:uid="{BABABC73-1D12-4DF2-9E5E-E841BFA2DCB7}">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68" authorId="0" shapeId="0" xr:uid="{9A4440A0-FA0D-4052-B280-1F2587BA4552}">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H78" authorId="0" shapeId="0" xr:uid="{1D79115A-EE07-4E1F-A6A6-CD8AF6211E06}">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O78" authorId="0" shapeId="0" xr:uid="{0BEC7B09-C406-4F84-B85D-BE3440566F1F}">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R78" authorId="2" shapeId="0" xr:uid="{A7445D1B-509D-49AE-B196-3112173A0FDF}">
      <text>
        <r>
          <rPr>
            <b/>
            <sz val="9"/>
            <color indexed="81"/>
            <rFont val="Tahoma"/>
            <family val="2"/>
          </rPr>
          <t>William Barber:</t>
        </r>
        <r>
          <rPr>
            <sz val="9"/>
            <color indexed="81"/>
            <rFont val="Tahoma"/>
            <family val="2"/>
          </rPr>
          <t xml:space="preserve">
Starbucks shift toward contactless, delivery, and pickup has a long lasting effect on opreating margin</t>
        </r>
      </text>
    </comment>
    <comment ref="F80" authorId="0" shapeId="0" xr:uid="{E8FEEF10-A864-490D-984F-D93848AE91C8}">
      <text>
        <r>
          <rPr>
            <b/>
            <sz val="9"/>
            <color indexed="81"/>
            <rFont val="Tahoma"/>
            <family val="2"/>
          </rPr>
          <t xml:space="preserve">Primary Input: </t>
        </r>
        <r>
          <rPr>
            <sz val="9"/>
            <color indexed="81"/>
            <rFont val="Tahoma"/>
            <family val="2"/>
          </rPr>
          <t>This cell will be impacted by product mix (lower vs higher cost products), occupancy costs, changes in employee wages and other operating costs. Consider historic seasonal trend and incorporate your view of the future in your estimates.</t>
        </r>
      </text>
    </comment>
    <comment ref="L80" authorId="2" shapeId="0" xr:uid="{8C64EDC3-1773-4FAF-8115-62DB66E039E2}">
      <text>
        <r>
          <rPr>
            <b/>
            <sz val="9"/>
            <color indexed="81"/>
            <rFont val="Tahoma"/>
            <family val="2"/>
          </rPr>
          <t>William Barber:</t>
        </r>
        <r>
          <rPr>
            <sz val="9"/>
            <color indexed="81"/>
            <rFont val="Tahoma"/>
            <family val="2"/>
          </rPr>
          <t xml:space="preserve">
Transition to contactless orders, delivery, and pickup reduced operating expenses overall</t>
        </r>
      </text>
    </comment>
    <comment ref="F83" authorId="0" shapeId="0" xr:uid="{252B23A1-1F2A-4663-B497-1465C379527C}">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8" authorId="0" shapeId="0" xr:uid="{5D52F90C-9D4F-4FA3-B734-1D3E13CABD5A}">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8" authorId="0" shapeId="0" xr:uid="{CF0A3ACE-5388-4A71-AC1A-7A23B8D0C31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O88" authorId="0" shapeId="0" xr:uid="{63288F2F-5916-4CAD-B331-E5440BCC2EF2}">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M94" authorId="0" shapeId="0" xr:uid="{FB4F18BF-6D96-4CF8-991F-601E41E0BBC3}">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96" authorId="0" shapeId="0" xr:uid="{AA0D2C97-CD25-4A87-B22B-1F65909A7128}">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O112" authorId="0" shapeId="0" xr:uid="{B068BA4A-D593-4B86-9C10-157F221539AC}">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F114" authorId="0" shapeId="0" xr:uid="{8D65BFF8-4FF8-40E5-83F8-85B1987E2DD8}">
      <text>
        <r>
          <rPr>
            <b/>
            <sz val="9"/>
            <color indexed="81"/>
            <rFont val="Tahoma"/>
            <family val="2"/>
          </rPr>
          <t xml:space="preserve">Primary Input: </t>
        </r>
        <r>
          <rPr>
            <sz val="9"/>
            <color indexed="81"/>
            <rFont val="Tahoma"/>
            <family val="2"/>
          </rPr>
          <t>Similar comment as with the Americas Region above.</t>
        </r>
      </text>
    </comment>
    <comment ref="B115" authorId="0" shapeId="0" xr:uid="{F69FB386-7D31-485F-AFC2-CE79C8F6E23A}">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6" authorId="0" shapeId="0" xr:uid="{4383EBF9-407E-43C8-8471-8E2BDD34ED89}">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L117" authorId="2" shapeId="0" xr:uid="{BD48ECEF-EEAB-4F5F-8B97-3E59745B2D58}">
      <text>
        <r>
          <rPr>
            <b/>
            <sz val="9"/>
            <color indexed="81"/>
            <rFont val="Tahoma"/>
            <family val="2"/>
          </rPr>
          <t>William Barber:</t>
        </r>
        <r>
          <rPr>
            <sz val="9"/>
            <color indexed="81"/>
            <rFont val="Tahoma"/>
            <family val="2"/>
          </rPr>
          <t xml:space="preserve">
[3Q2020] demand for at‐home coffee has soared and our channel development business has demonstrated tremendous resilience and gained market share as customers adjust to their at‐home routines.
Sales of at-home coffee will help offset losses in channel revenue in other areas. These increased sales will persist for years.</t>
        </r>
      </text>
    </comment>
    <comment ref="M117" authorId="0" shapeId="0" xr:uid="{E7FD8567-7691-4BF8-8044-430DBADE816B}">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H126" authorId="0" shapeId="0" xr:uid="{0AFB8492-6631-4EBA-A90B-77B9FC895AA5}">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6" authorId="0" shapeId="0" xr:uid="{76B44A94-361A-43C5-AB45-DB3A3FA1BFA4}">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H148" authorId="0" shapeId="0" xr:uid="{09086669-1B74-4F2F-9BFD-613EEE8C272D}">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8" authorId="0" shapeId="0" xr:uid="{97017612-F2B9-4C76-AC38-695388763B23}">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H151" authorId="0" shapeId="0" xr:uid="{1AC5A6FE-2E7D-4292-8526-475FE5AC6A6E}">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51" authorId="0" shapeId="0" xr:uid="{5FD06BF1-CB64-4ED3-BB36-CF2367571570}">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X154" authorId="0" shapeId="0" xr:uid="{D14599A9-702C-456B-BAA3-86430560C12D}">
      <text>
        <r>
          <rPr>
            <b/>
            <sz val="9"/>
            <color indexed="81"/>
            <rFont val="Tahoma"/>
            <family val="2"/>
          </rPr>
          <t>GROWTH RATES TOO HIGH - CHECK THE PAST AND CONSENSUS</t>
        </r>
        <r>
          <rPr>
            <sz val="9"/>
            <color indexed="81"/>
            <rFont val="Tahoma"/>
            <family val="2"/>
          </rPr>
          <t xml:space="preserve">
</t>
        </r>
      </text>
    </comment>
    <comment ref="B157" authorId="0" shapeId="0" xr:uid="{AD7544DA-3FBA-40F9-AE15-5804DA93DE00}">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B172" authorId="0" shapeId="0" xr:uid="{20E44D2E-2CAE-4DBE-B7FA-D71F408A75C3}">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B179" authorId="0" shapeId="0" xr:uid="{85CAA317-FB8F-44ED-8BFB-2649D3570234}">
      <text>
        <r>
          <rPr>
            <b/>
            <sz val="9"/>
            <color indexed="81"/>
            <rFont val="Tahoma"/>
            <family val="2"/>
          </rPr>
          <t>Enter negative EPS income tax effect as positive on this line</t>
        </r>
      </text>
    </comment>
    <comment ref="B232" authorId="0" shapeId="0" xr:uid="{B2B9A67E-D66C-434E-A5CC-DD9B8240C6E8}">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B241" authorId="0" shapeId="0" xr:uid="{059A8E95-FF20-4526-887F-EFE97F11CFA6}">
      <text>
        <r>
          <rPr>
            <b/>
            <sz val="9"/>
            <color indexed="81"/>
            <rFont val="Tahoma"/>
            <family val="2"/>
          </rPr>
          <t>Note: Use the company's 10-K not SEC web data</t>
        </r>
      </text>
    </comment>
    <comment ref="B253" authorId="0" shapeId="0" xr:uid="{02FAB36C-1A75-4CBE-8005-0C70712348F2}">
      <text>
        <r>
          <rPr>
            <b/>
            <sz val="9"/>
            <color indexed="81"/>
            <rFont val="Tahoma"/>
            <family val="2"/>
          </rPr>
          <t>Change sign</t>
        </r>
      </text>
    </comment>
    <comment ref="B257" authorId="0" shapeId="0" xr:uid="{625AB450-A2D1-4C0D-B625-85EEB2B23A99}">
      <text>
        <r>
          <rPr>
            <b/>
            <sz val="9"/>
            <color indexed="81"/>
            <rFont val="Tahoma"/>
            <family val="2"/>
          </rPr>
          <t>Change sign</t>
        </r>
      </text>
    </comment>
    <comment ref="H261" authorId="0" shapeId="0" xr:uid="{71985C27-1775-43B4-AA57-48B544A35CC0}">
      <text>
        <r>
          <rPr>
            <b/>
            <sz val="9"/>
            <color indexed="81"/>
            <rFont val="Tahoma"/>
            <family val="2"/>
          </rPr>
          <t xml:space="preserve">3Q2019 Earnings call (7/25/2019) guidance for FY2019:
</t>
        </r>
        <r>
          <rPr>
            <sz val="9"/>
            <color indexed="81"/>
            <rFont val="Tahoma"/>
            <family val="2"/>
          </rPr>
          <t>Capex ~ $2B</t>
        </r>
      </text>
    </comment>
    <comment ref="M261" authorId="0" shapeId="0" xr:uid="{02148E3D-AB86-4B4B-8382-5D40A1F60245}">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B265" authorId="0" shapeId="0" xr:uid="{7AE9D924-9E2C-4CDA-8ADE-4B8DABE4047D}">
      <text>
        <r>
          <rPr>
            <b/>
            <sz val="9"/>
            <color indexed="81"/>
            <rFont val="Tahoma"/>
            <family val="2"/>
          </rPr>
          <t>Change sign for payments of debt</t>
        </r>
      </text>
    </comment>
    <comment ref="B278" authorId="0" shapeId="0" xr:uid="{FA95C4A7-0B69-4F13-92E4-DBC34B46CEE3}">
      <text>
        <r>
          <rPr>
            <sz val="9"/>
            <color indexed="81"/>
            <rFont val="Tahoma"/>
            <family val="2"/>
          </rPr>
          <t>Cash Flow from Operations - Capital Expenditures + After tax Interest Expense</t>
        </r>
      </text>
    </comment>
    <comment ref="B294" authorId="0" shapeId="0" xr:uid="{F789C202-E518-4FE7-901E-DBFB65C32F92}">
      <text>
        <r>
          <rPr>
            <b/>
            <sz val="9"/>
            <color indexed="81"/>
            <rFont val="Tahoma"/>
            <family val="2"/>
          </rPr>
          <t xml:space="preserve">Multiple Note 1) </t>
        </r>
        <r>
          <rPr>
            <sz val="9"/>
            <color indexed="81"/>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9/27/2020.</t>
        </r>
      </text>
    </comment>
    <comment ref="C298" authorId="2" shapeId="0" xr:uid="{60B320A1-2042-45EF-9496-6F8DD2C267DF}">
      <text>
        <r>
          <rPr>
            <b/>
            <sz val="9"/>
            <color indexed="81"/>
            <rFont val="Tahoma"/>
            <family val="2"/>
          </rPr>
          <t>William Barber:</t>
        </r>
        <r>
          <rPr>
            <sz val="9"/>
            <color indexed="81"/>
            <rFont val="Tahoma"/>
            <family val="2"/>
          </rPr>
          <t xml:space="preserve">
PE multiple based on FY2021 EPS estimates.</t>
        </r>
      </text>
    </comment>
    <comment ref="C299" authorId="0" shapeId="0" xr:uid="{2B8325C0-0615-4636-BE39-057F61701307}">
      <text>
        <r>
          <rPr>
            <b/>
            <sz val="9"/>
            <color indexed="81"/>
            <rFont val="Tahoma"/>
            <family val="2"/>
          </rPr>
          <t xml:space="preserve">Multiple Note 2) </t>
        </r>
        <r>
          <rPr>
            <sz val="9"/>
            <color indexed="81"/>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2" authorId="0" shapeId="0" xr:uid="{861BD2B8-6B43-4A14-8C17-E5891E2376D0}">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8/22/2020.</t>
        </r>
      </text>
    </comment>
    <comment ref="C304" authorId="0" shapeId="0" xr:uid="{C8595294-E50A-485C-94B7-52DE006F807D}">
      <text>
        <r>
          <rPr>
            <sz val="9"/>
            <color indexed="81"/>
            <rFont val="Tahoma"/>
            <family val="2"/>
          </rPr>
          <t>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307" authorId="2" shapeId="0" xr:uid="{6E489A99-C22F-4CA0-BFF6-A39781AA9BA7}">
      <text>
        <r>
          <rPr>
            <b/>
            <sz val="9"/>
            <color indexed="81"/>
            <rFont val="Tahoma"/>
            <family val="2"/>
          </rPr>
          <t>William Barber:</t>
        </r>
        <r>
          <rPr>
            <sz val="9"/>
            <color indexed="81"/>
            <rFont val="Tahoma"/>
            <family val="2"/>
          </rPr>
          <t xml:space="preserve">
I used daily data over 1 year instead of 1 data point a month over a year.</t>
        </r>
      </text>
    </comment>
    <comment ref="C308" authorId="0" shapeId="0" xr:uid="{0954FEB3-54E3-489E-916E-AF60A483989A}">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09" authorId="0" shapeId="0" xr:uid="{3918E59F-3660-4D64-9BEE-3B0076344CAA}">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18" authorId="0" shapeId="0" xr:uid="{B0AE71BA-5BB7-4EAC-9D67-E2D4F85389D2}">
      <text>
        <r>
          <rPr>
            <sz val="9"/>
            <color indexed="81"/>
            <rFont val="Tahoma"/>
            <family val="2"/>
          </rPr>
          <t xml:space="preserve">&gt;Assumes constant networking capital in the constant growth stage.
&gt;Assumes debt balance and interest expense remains constant in the constant growth stage, and that book value of debt approximates fair value.
</t>
        </r>
      </text>
    </comment>
    <comment ref="C322" authorId="0" shapeId="0" xr:uid="{85BE6D82-676A-467F-B00F-64F4ADCD33F3}">
      <text>
        <r>
          <rPr>
            <b/>
            <sz val="9"/>
            <color indexed="81"/>
            <rFont val="Tahoma"/>
            <family val="2"/>
          </rPr>
          <t xml:space="preserve">William Barber: </t>
        </r>
        <r>
          <rPr>
            <sz val="9"/>
            <color indexed="81"/>
            <rFont val="Tahoma"/>
            <family val="2"/>
          </rPr>
          <t>rebuilt to use input cells instead of contants.
The Stage 2 long-term WACC assumes the weight and cost of debt remains constant, and cost of equity reaches the long-term average based on a long-term beta of 1.044 using the historic average VIX of 16.86%, the historic average 10-year U.S. Treasury rate of 6.23%, and Constant Sharpe of 0.312.</t>
        </r>
      </text>
    </comment>
    <comment ref="C324" authorId="3"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26" authorId="4" shapeId="0" xr:uid="{00000000-0006-0000-0200-000054000000}">
      <text>
        <r>
          <rPr>
            <sz val="9"/>
            <color indexed="81"/>
            <rFont val="Tahoma"/>
            <family val="2"/>
          </rPr>
          <t xml:space="preserve">This adds back cash and removes debt from the enterprise value to arrive at the equity only value
</t>
        </r>
      </text>
    </comment>
    <comment ref="B329" authorId="0" shapeId="0" xr:uid="{0B687D9C-DEAB-40E6-9BE6-315B785F33A7}">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8/22/2020</t>
        </r>
      </text>
    </comment>
    <comment ref="C338" authorId="2" shapeId="0" xr:uid="{22B744ED-C965-4F66-AB49-B2F2B9815416}">
      <text>
        <r>
          <rPr>
            <b/>
            <sz val="9"/>
            <color indexed="81"/>
            <rFont val="Tahoma"/>
            <family val="2"/>
          </rPr>
          <t>William Barber:</t>
        </r>
        <r>
          <rPr>
            <sz val="9"/>
            <color indexed="81"/>
            <rFont val="Tahoma"/>
            <family val="2"/>
          </rPr>
          <t xml:space="preserve">
Recalculated using daily data.</t>
        </r>
      </text>
    </comment>
  </commentList>
</comments>
</file>

<file path=xl/sharedStrings.xml><?xml version="1.0" encoding="utf-8"?>
<sst xmlns="http://schemas.openxmlformats.org/spreadsheetml/2006/main" count="1104" uniqueCount="377">
  <si>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</si>
  <si>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</si>
  <si>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</si>
  <si>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</si>
  <si>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</si>
  <si>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</si>
  <si>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</si>
  <si>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</si>
  <si>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</si>
  <si>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</si>
  <si>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</si>
  <si>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</si>
  <si>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</si>
  <si>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</si>
  <si>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</si>
  <si>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</si>
  <si>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</si>
  <si>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</si>
  <si>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</si>
  <si>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Multiple Valuation</t>
  </si>
  <si>
    <t>Balance Sheet Ratios &amp; Assumptions</t>
  </si>
  <si>
    <t>Receivables turnover</t>
  </si>
  <si>
    <t>Number of days of payables</t>
  </si>
  <si>
    <t>Cash Flow Ratios &amp; Assumptions</t>
  </si>
  <si>
    <t>Operating margin (GAAP)</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</si>
  <si>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</si>
  <si>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</si>
  <si>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</si>
  <si>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</si>
  <si>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</si>
  <si>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</si>
  <si>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</si>
  <si>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</si>
  <si>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</si>
  <si>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</si>
  <si>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</si>
  <si>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Cash and equivalents</t>
  </si>
  <si>
    <t>Goodwill</t>
  </si>
  <si>
    <t>Accounts payable</t>
  </si>
  <si>
    <t xml:space="preserve">Retained earnings </t>
  </si>
  <si>
    <t>Total shareholders' equity</t>
  </si>
  <si>
    <t>Beta (relative to the S&amp;P500)</t>
  </si>
  <si>
    <t>Revenue growth (in perpetuity)</t>
  </si>
  <si>
    <t>Constant CFO growth rate</t>
  </si>
  <si>
    <t>DCF Valuation</t>
  </si>
  <si>
    <t xml:space="preserve">Basic EPS </t>
  </si>
  <si>
    <t xml:space="preserve">Diluted EPS </t>
  </si>
  <si>
    <t>P/E 3-month high</t>
  </si>
  <si>
    <t>P/E 3-month low</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</si>
  <si>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</si>
  <si>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</si>
  <si>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</si>
  <si>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</si>
  <si>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</si>
  <si>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</si>
  <si>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</si>
  <si>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</si>
  <si>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</si>
  <si>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</si>
  <si>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 xml:space="preserve">Net Cash and investments per share </t>
  </si>
  <si>
    <t>Days sales outstanding</t>
  </si>
  <si>
    <t>Payables turnover</t>
  </si>
  <si>
    <t>Net Cash from Operations growth rate (YoY)</t>
  </si>
  <si>
    <t xml:space="preserve">Standard deviation </t>
  </si>
  <si>
    <t>Implied upper bound</t>
  </si>
  <si>
    <t>Implied Lower bound</t>
  </si>
  <si>
    <t>Implied target value</t>
  </si>
  <si>
    <t>Implied 50/50 average target value</t>
  </si>
  <si>
    <t xml:space="preserve">Implied target price band </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</si>
  <si>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</si>
  <si>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</si>
  <si>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</si>
  <si>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</si>
  <si>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</si>
  <si>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</si>
  <si>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</si>
  <si>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</si>
  <si>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</si>
  <si>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</si>
  <si>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</si>
  <si>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</si>
  <si>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</si>
  <si>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</si>
  <si>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</si>
  <si>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</si>
  <si>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</si>
  <si>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</si>
  <si>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</si>
  <si>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</si>
  <si>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</si>
  <si>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Monthly return</t>
  </si>
  <si>
    <t>Diff from mean</t>
  </si>
  <si>
    <t>Diff Squared</t>
  </si>
  <si>
    <t>Mean</t>
  </si>
  <si>
    <t>Sum of squared differences</t>
  </si>
  <si>
    <t>Variance</t>
  </si>
  <si>
    <t>Standard Deviation</t>
  </si>
  <si>
    <t>check</t>
  </si>
  <si>
    <t>Target share price</t>
  </si>
  <si>
    <t>DCF check</t>
  </si>
  <si>
    <t>Estimate of Risk Free (future 10yr UST)</t>
  </si>
  <si>
    <t>Segment Data</t>
  </si>
  <si>
    <t>Reconciliation</t>
  </si>
  <si>
    <t>P/E 3-month average</t>
  </si>
  <si>
    <t>Adjustments</t>
  </si>
  <si>
    <t>Constant market Sharpe ratio</t>
  </si>
  <si>
    <t>S&amp;P500 implied volatility</t>
  </si>
  <si>
    <t>Constant Growth Stage Assumptions</t>
  </si>
  <si>
    <t>Stage 2 Long-Term WACC</t>
  </si>
  <si>
    <t>Risk Estimation Summary</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</si>
  <si>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</si>
  <si>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</si>
  <si>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</si>
  <si>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</si>
  <si>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</si>
  <si>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</si>
  <si>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</si>
  <si>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</si>
  <si>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</si>
  <si>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</si>
  <si>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</si>
  <si>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</si>
  <si>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</si>
  <si>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</si>
  <si>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Sept-19E</t>
  </si>
  <si>
    <t>Dec-19E</t>
  </si>
  <si>
    <t>Mar-20E</t>
  </si>
  <si>
    <t>June-20E</t>
  </si>
  <si>
    <t>Sept-20E</t>
  </si>
  <si>
    <t>Dec-20E</t>
  </si>
  <si>
    <t>Mar-21E</t>
  </si>
  <si>
    <t>June-21E</t>
  </si>
  <si>
    <t>Sept-21E</t>
  </si>
  <si>
    <t>Dec-21E</t>
  </si>
  <si>
    <t>Mar-22E</t>
  </si>
  <si>
    <t>June-22E</t>
  </si>
  <si>
    <t>Sept-22E</t>
  </si>
  <si>
    <t>Dec-22E</t>
  </si>
  <si>
    <t>Mar-23E</t>
  </si>
  <si>
    <t>June-23E</t>
  </si>
  <si>
    <t>Sept-23E</t>
  </si>
  <si>
    <t>F4Q20E</t>
  </si>
  <si>
    <t>FY 2020E</t>
  </si>
  <si>
    <t>F1Q21E</t>
  </si>
  <si>
    <t>F2Q21E</t>
  </si>
  <si>
    <t>F3Q21E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</si>
  <si>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</si>
  <si>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</si>
  <si>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</si>
  <si>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</si>
  <si>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</si>
  <si>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</si>
  <si>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</si>
  <si>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</si>
  <si>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</si>
  <si>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</si>
  <si>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</si>
  <si>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</si>
  <si>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</si>
  <si>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</si>
  <si>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</si>
  <si>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</si>
  <si>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</si>
  <si>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</si>
  <si>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</si>
  <si>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</si>
  <si>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</si>
  <si>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</si>
  <si>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</si>
  <si>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</si>
  <si>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</si>
  <si>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</si>
  <si>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</si>
  <si>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</si>
  <si>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</si>
  <si>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</si>
  <si>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</si>
  <si>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</si>
  <si>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</si>
  <si>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</si>
  <si>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</si>
  <si>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</si>
  <si>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</si>
  <si>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</si>
  <si>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</si>
  <si>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</si>
  <si>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</si>
  <si>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</si>
  <si>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</si>
  <si>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</si>
  <si>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Operating expenses exDepreciation($M)</t>
  </si>
  <si>
    <t>Operating expenses exDepreciation (% of revenue)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</si>
  <si>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</si>
  <si>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</si>
  <si>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</si>
  <si>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</si>
  <si>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</si>
  <si>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</si>
  <si>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</si>
  <si>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</si>
  <si>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</si>
  <si>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</si>
  <si>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</si>
  <si>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</si>
  <si>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</si>
  <si>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</si>
  <si>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</si>
  <si>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</si>
  <si>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</si>
  <si>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</si>
  <si>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</si>
  <si>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</si>
  <si>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</si>
  <si>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</si>
  <si>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</si>
  <si>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</si>
  <si>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</si>
  <si>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</si>
  <si>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</si>
  <si>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</si>
  <si>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</si>
  <si>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</si>
  <si>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</si>
  <si>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</si>
  <si>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</si>
  <si>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</si>
  <si>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</si>
  <si>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</si>
  <si>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</si>
  <si>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</si>
  <si>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</si>
  <si>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</si>
  <si>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</si>
  <si>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</si>
  <si>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</si>
  <si>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</si>
  <si>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</si>
  <si>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</si>
  <si>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</si>
  <si>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</si>
  <si>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</si>
  <si>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</si>
  <si>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</si>
  <si>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</si>
  <si>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</si>
  <si>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</si>
  <si>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</si>
  <si>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</si>
  <si>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</si>
  <si>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</si>
  <si>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</si>
  <si>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</si>
  <si>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</si>
  <si>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</si>
  <si>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</si>
  <si>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</si>
  <si>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</si>
  <si>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</si>
  <si>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</si>
  <si>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</si>
  <si>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</si>
  <si>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Notes &amp; Instructions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</si>
  <si>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</si>
  <si>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</si>
  <si>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</si>
  <si>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</si>
  <si>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</si>
  <si>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</si>
  <si>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</si>
  <si>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is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</si>
  <si>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</si>
  <si>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</si>
  <si>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</si>
  <si>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</si>
  <si>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</si>
  <si>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</si>
  <si>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</si>
  <si>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</si>
  <si>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t>Minimum tax withholdings on share-based awards</t>
  </si>
  <si>
    <r>
      <rPr>
        <b/>
        <i/>
        <sz val="11"/>
        <color theme="1"/>
        <rFont val="Calibri"/>
        <family val="2"/>
        <scheme val="minor"/>
      </rPr>
      <t xml:space="preserve">Income Statement: </t>
    </r>
    <r>
      <rPr>
        <sz val="11"/>
        <color theme="1"/>
        <rFont val="Calibri"/>
        <family val="2"/>
        <scheme val="minor"/>
      </rPr>
      <t>The primary drivers of this model are the estimates of Comp Store Sales, Net New Stores, and the ratio of Operating expenses (excluding depreciation) as a percentage of revenue, for each geographic region.  Management's guidance is used as a reasonableness check against the forecasts entered into this model. Total revenue is calibrated to meet consensus estimates.</t>
    </r>
  </si>
  <si>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</si>
  <si>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</si>
  <si>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</si>
  <si>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</si>
  <si>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</si>
  <si>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</si>
  <si>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</si>
  <si>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</si>
  <si>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</si>
  <si>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</si>
  <si>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</si>
  <si>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</si>
  <si>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</si>
  <si>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</si>
  <si>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</si>
  <si>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</si>
  <si>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</si>
  <si>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</si>
  <si>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</si>
  <si>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</si>
  <si>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</si>
  <si>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</si>
  <si>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</si>
  <si>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</si>
  <si>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</si>
  <si>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</si>
  <si>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</si>
  <si>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</si>
  <si>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</si>
  <si>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</si>
  <si>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</si>
  <si>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</si>
  <si>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</si>
  <si>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</si>
  <si>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</si>
  <si>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</si>
  <si>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</si>
  <si>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</si>
  <si>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</si>
  <si>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</si>
  <si>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</si>
  <si>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</si>
  <si>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</si>
  <si>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</si>
  <si>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</si>
  <si>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</si>
  <si>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</si>
  <si>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</si>
  <si>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number of stores from four quarters ago.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more than 13 months. The simplified approach to estimating this revenue is to take the total number of stores which were not included in Step 1, and multiply by the simple average revenue per store during the quarter. Note that since the impact of fx changes are excluded from comp store sales, the fx impact is inherently captured in this category for remaining revenue.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
</t>
    </r>
    <r>
      <rPr>
        <b/>
        <sz val="11"/>
        <color theme="1"/>
        <rFont val="Calibri"/>
        <family val="2"/>
        <scheme val="minor"/>
      </rPr>
      <t xml:space="preserve">NOTE 1-Comp Store Sales: </t>
    </r>
    <r>
      <rPr>
        <sz val="11"/>
        <color theme="1"/>
        <rFont val="Calibri"/>
        <family val="2"/>
        <scheme val="minor"/>
      </rPr>
      <t>Comp store sales only include Company-operated stores which have been open 13 months or longer. Comparable store sales exclude the effects of fluctuations in foreign currency exchange rates and Siren Retail stores. Stores that are temporarily closed or operating at reduced hours due to the COVID-19 outbreak remain in comparable store sales while stores identified for permanent closure have been removed.</t>
    </r>
  </si>
  <si>
    <r>
      <t xml:space="preserve">Last updated: </t>
    </r>
    <r>
      <rPr>
        <sz val="11"/>
        <color theme="1"/>
        <rFont val="Calibri"/>
        <family val="2"/>
        <scheme val="minor"/>
      </rPr>
      <t>8/9/2020</t>
    </r>
  </si>
  <si>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</si>
  <si>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</si>
  <si>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</si>
  <si>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</si>
  <si>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</si>
  <si>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</si>
  <si>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</si>
  <si>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</si>
  <si>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</si>
  <si>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</si>
  <si>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</si>
  <si>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</si>
  <si>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</si>
  <si>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</si>
  <si>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</si>
  <si>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</si>
  <si>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</si>
  <si>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</si>
  <si>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</si>
  <si>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</si>
  <si>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</si>
  <si>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</si>
  <si>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</si>
  <si>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</si>
  <si>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</si>
  <si>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</si>
  <si>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</si>
  <si>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</si>
  <si>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</si>
  <si>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r>
      <rPr>
        <b/>
        <sz val="11"/>
        <color theme="1"/>
        <rFont val="Calibri"/>
        <family val="2"/>
        <scheme val="minor"/>
      </rPr>
      <t>Last updated:</t>
    </r>
    <r>
      <rPr>
        <sz val="11"/>
        <color theme="1"/>
        <rFont val="Calibri"/>
        <family val="2"/>
        <scheme val="minor"/>
      </rPr>
      <t xml:space="preserve"> 8/22/2020</t>
    </r>
  </si>
  <si>
    <t>Price</t>
  </si>
  <si>
    <t>% Change</t>
  </si>
  <si>
    <t>Orange cells = Consensus estimates (updated 8/22/2020)</t>
  </si>
  <si>
    <t>Blue cells = Gutenberg estimates (updated 8/22/2020)</t>
  </si>
  <si>
    <t>Purple cells = Company guidance (updated 7/28/2020)</t>
  </si>
  <si>
    <t>Previous ending cash (prior to change on 10/2)</t>
  </si>
  <si>
    <t>Updated ending cash (after change on 10/2)</t>
  </si>
  <si>
    <t>Change in cash due to increase in dividend</t>
  </si>
  <si>
    <t>Mean monthly return</t>
  </si>
  <si>
    <t>Does the Balance Sheet balance across all quarters?</t>
  </si>
  <si>
    <t>Does the cash balance from the Cash Flow Statement equal the cash on the Balance Sheet for each quarter?</t>
  </si>
  <si>
    <t>Green cells = My estimates (updated 10/23/2020)</t>
  </si>
  <si>
    <t>LT Beta (relative to the S&amp;P500)</t>
  </si>
  <si>
    <t>Market Constant Sharpe Ratio</t>
  </si>
  <si>
    <t xml:space="preserve">Historic Average VIX </t>
  </si>
  <si>
    <t>Historic Long-Term Average RF Rate</t>
  </si>
  <si>
    <t>Inputs from ERP and Beta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</si>
</sst>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
    <numFmt numFmtId="226" formatCode="0.0\x"/>
    <numFmt numFmtId="227" formatCode="0.00000"/>
    <numFmt numFmtId="228" formatCode="_(* #,##0.0000_);_(* \(#,##0.0000\);_(* &quot;-&quot;??_);_(@_)"/>
    <numFmt numFmtId="229" formatCode="0.000%"/>
    <numFmt numFmtId="230" formatCode="0.000"/>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val="singleAccounting"/>
      <sz val="11"/>
      <color rgb="FFFF0000"/>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u/>
      <sz val="9"/>
      <color indexed="81"/>
      <name val="Tahoma"/>
      <family val="2"/>
    </font>
    <font>
      <b/>
      <u/>
      <sz val="12"/>
      <name val="Calibri"/>
      <family val="2"/>
      <scheme val="minor"/>
    </font>
  </fonts>
  <fills count="1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50"/>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572">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applyNumberFormat="1" applyFont="1" applyBorder="1" applyAlignment="1">
      <alignment horizontal="right"/>
    </xf>
    <xf numFmtId="164" fontId="56" fillId="0" borderId="0" xfId="1" quotePrefix="1" applyNumberFormat="1" applyFont="1" applyAlignment="1">
      <alignment horizontal="right"/>
    </xf>
    <xf numFmtId="164" fontId="56"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55" fillId="0" borderId="0" xfId="1" quotePrefix="1" applyNumberFormat="1" applyFont="1" applyAlignment="1">
      <alignment horizontal="right"/>
    </xf>
    <xf numFmtId="43" fontId="55" fillId="0" borderId="0" xfId="1" quotePrefix="1" applyFont="1" applyAlignment="1">
      <alignment horizontal="right"/>
    </xf>
    <xf numFmtId="165" fontId="4" fillId="0" borderId="29" xfId="1" applyNumberFormat="1" applyFont="1" applyBorder="1" applyAlignment="1">
      <alignment horizontal="right"/>
    </xf>
    <xf numFmtId="165" fontId="4" fillId="0" borderId="30" xfId="1" applyNumberFormat="1" applyFont="1" applyBorder="1" applyAlignment="1">
      <alignment horizontal="right"/>
    </xf>
    <xf numFmtId="164" fontId="4" fillId="0" borderId="5" xfId="1" quotePrefix="1" applyNumberFormat="1" applyFont="1" applyBorder="1" applyAlignment="1">
      <alignment horizontal="right"/>
    </xf>
    <xf numFmtId="164" fontId="4" fillId="0" borderId="0" xfId="1" applyNumberFormat="1" applyFont="1" applyAlignment="1">
      <alignment horizontal="left"/>
    </xf>
    <xf numFmtId="164" fontId="56" fillId="0" borderId="2" xfId="1" quotePrefix="1" applyNumberFormat="1" applyFont="1" applyBorder="1" applyAlignment="1">
      <alignment horizontal="right"/>
    </xf>
    <xf numFmtId="9" fontId="55" fillId="0" borderId="2" xfId="2" quotePrefix="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4" fillId="3" borderId="0" xfId="1" quotePrefix="1" applyNumberFormat="1" applyFont="1" applyFill="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Alignment="1">
      <alignment horizontal="right"/>
    </xf>
    <xf numFmtId="165" fontId="62" fillId="0" borderId="5" xfId="1" applyNumberFormat="1" applyFont="1" applyBorder="1" applyAlignment="1">
      <alignment horizontal="right"/>
    </xf>
    <xf numFmtId="0" fontId="4"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0" xfId="0" applyFont="1"/>
    <xf numFmtId="43" fontId="63" fillId="0" borderId="0" xfId="1" applyFont="1" applyAlignment="1">
      <alignment horizontal="right"/>
    </xf>
    <xf numFmtId="43" fontId="63" fillId="0" borderId="5" xfId="1" applyFont="1" applyBorder="1" applyAlignment="1">
      <alignment horizontal="right"/>
    </xf>
    <xf numFmtId="43" fontId="62" fillId="0" borderId="0" xfId="1" applyFont="1" applyAlignment="1">
      <alignment horizontal="right"/>
    </xf>
    <xf numFmtId="0" fontId="62" fillId="0" borderId="3" xfId="0" applyFont="1" applyBorder="1" applyAlignment="1">
      <alignment horizontal="left" indent="1"/>
    </xf>
    <xf numFmtId="0" fontId="62" fillId="11" borderId="4" xfId="0" applyFont="1" applyFill="1" applyBorder="1" applyAlignment="1">
      <alignment horizontal="left"/>
    </xf>
    <xf numFmtId="165" fontId="62" fillId="0" borderId="0" xfId="1" quotePrefix="1" applyNumberFormat="1" applyFont="1" applyAlignment="1">
      <alignment horizontal="right"/>
    </xf>
    <xf numFmtId="165" fontId="63" fillId="0" borderId="7" xfId="1" applyNumberFormat="1" applyFont="1" applyBorder="1" applyAlignment="1">
      <alignment horizontal="right"/>
    </xf>
    <xf numFmtId="166" fontId="62" fillId="0" borderId="0" xfId="2" quotePrefix="1" applyNumberFormat="1" applyFont="1" applyAlignment="1">
      <alignment horizontal="right"/>
    </xf>
    <xf numFmtId="165" fontId="62" fillId="0" borderId="5" xfId="1" quotePrefix="1" applyNumberFormat="1" applyFont="1" applyBorder="1" applyAlignment="1">
      <alignment horizontal="right"/>
    </xf>
    <xf numFmtId="166" fontId="62" fillId="9" borderId="0" xfId="2" quotePrefix="1" applyNumberFormat="1" applyFont="1" applyFill="1" applyAlignment="1">
      <alignment horizontal="right"/>
    </xf>
    <xf numFmtId="0" fontId="62" fillId="11" borderId="3" xfId="0" applyFont="1" applyFill="1" applyBorder="1" applyAlignment="1">
      <alignment horizontal="left"/>
    </xf>
    <xf numFmtId="9" fontId="62" fillId="0" borderId="0" xfId="2" quotePrefix="1" applyFont="1" applyAlignment="1">
      <alignment horizontal="right"/>
    </xf>
    <xf numFmtId="165" fontId="66" fillId="0" borderId="0" xfId="2" applyNumberFormat="1" applyFont="1" applyAlignment="1">
      <alignment horizontal="right"/>
    </xf>
    <xf numFmtId="166" fontId="62" fillId="0" borderId="0" xfId="2" applyNumberFormat="1" applyFont="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9" fontId="62" fillId="0" borderId="0" xfId="2" applyFont="1" applyAlignment="1">
      <alignment horizontal="right"/>
    </xf>
    <xf numFmtId="0" fontId="62" fillId="0" borderId="3" xfId="0" applyFont="1" applyBorder="1"/>
    <xf numFmtId="164" fontId="62" fillId="0" borderId="0" xfId="1" quotePrefix="1" applyNumberFormat="1" applyFont="1" applyAlignment="1">
      <alignment horizontal="right"/>
    </xf>
    <xf numFmtId="164" fontId="62" fillId="0" borderId="5" xfId="1" quotePrefix="1" applyNumberFormat="1" applyFont="1" applyBorder="1" applyAlignment="1">
      <alignment horizontal="right"/>
    </xf>
    <xf numFmtId="164" fontId="62" fillId="9" borderId="0" xfId="1" quotePrefix="1" applyNumberFormat="1" applyFont="1" applyFill="1" applyAlignment="1">
      <alignment horizontal="right"/>
    </xf>
    <xf numFmtId="165" fontId="64" fillId="9" borderId="0" xfId="1" applyNumberFormat="1" applyFont="1" applyFill="1" applyAlignment="1">
      <alignment horizontal="right"/>
    </xf>
    <xf numFmtId="9" fontId="62" fillId="0" borderId="5" xfId="2" quotePrefix="1" applyFont="1" applyBorder="1" applyAlignment="1">
      <alignment horizontal="right"/>
    </xf>
    <xf numFmtId="165" fontId="62" fillId="9" borderId="0" xfId="1" applyNumberFormat="1" applyFont="1" applyFill="1" applyAlignment="1">
      <alignment horizontal="right"/>
    </xf>
    <xf numFmtId="9" fontId="62" fillId="9" borderId="0" xfId="2" applyFont="1" applyFill="1" applyAlignment="1">
      <alignment horizontal="right"/>
    </xf>
    <xf numFmtId="166" fontId="62" fillId="9" borderId="0" xfId="2" applyNumberFormat="1" applyFont="1" applyFill="1" applyAlignment="1">
      <alignment horizontal="right"/>
    </xf>
    <xf numFmtId="0" fontId="65" fillId="0" borderId="25" xfId="0" applyFont="1" applyBorder="1" applyAlignment="1">
      <alignment horizontal="left"/>
    </xf>
    <xf numFmtId="7" fontId="62" fillId="0" borderId="0" xfId="1" applyNumberFormat="1" applyFont="1" applyAlignment="1">
      <alignment horizontal="right"/>
    </xf>
    <xf numFmtId="7" fontId="4" fillId="0" borderId="5" xfId="1" applyNumberFormat="1" applyFont="1" applyBorder="1" applyAlignment="1">
      <alignment horizontal="right"/>
    </xf>
    <xf numFmtId="7" fontId="62" fillId="9" borderId="0" xfId="1" applyNumberFormat="1" applyFont="1" applyFill="1" applyAlignment="1">
      <alignment horizontal="right"/>
    </xf>
    <xf numFmtId="9" fontId="62" fillId="9" borderId="4" xfId="2" applyFont="1" applyFill="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165" fontId="62" fillId="0" borderId="8" xfId="1" applyNumberFormat="1" applyFont="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1" fillId="2" borderId="3" xfId="0" applyFont="1" applyFill="1" applyBorder="1" applyAlignment="1">
      <alignment horizontal="left"/>
    </xf>
    <xf numFmtId="0" fontId="65" fillId="11" borderId="4" xfId="0" applyFont="1" applyFill="1" applyBorder="1" applyAlignment="1">
      <alignment horizontal="left"/>
    </xf>
    <xf numFmtId="0" fontId="62" fillId="0" borderId="25" xfId="0" applyFont="1" applyBorder="1" applyAlignment="1">
      <alignment horizontal="left"/>
    </xf>
    <xf numFmtId="0" fontId="62" fillId="0" borderId="26"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2" fillId="0" borderId="3" xfId="0" applyFont="1" applyBorder="1" applyAlignment="1">
      <alignment horizontal="left" indent="2"/>
    </xf>
    <xf numFmtId="0" fontId="62" fillId="0" borderId="6" xfId="0" applyFont="1" applyBorder="1" applyAlignment="1">
      <alignment horizontal="left"/>
    </xf>
    <xf numFmtId="166" fontId="62" fillId="0" borderId="5" xfId="2" quotePrefix="1" applyNumberFormat="1" applyFont="1" applyBorder="1" applyAlignment="1">
      <alignment horizontal="right"/>
    </xf>
    <xf numFmtId="0" fontId="63" fillId="0" borderId="3" xfId="0" applyFont="1" applyBorder="1" applyAlignment="1">
      <alignment horizontal="left" indent="2"/>
    </xf>
    <xf numFmtId="165" fontId="63" fillId="11" borderId="0" xfId="1" applyNumberFormat="1" applyFont="1" applyFill="1" applyAlignment="1">
      <alignment horizontal="right"/>
    </xf>
    <xf numFmtId="165" fontId="62" fillId="11" borderId="0" xfId="1" applyNumberFormat="1" applyFont="1" applyFill="1" applyAlignment="1">
      <alignment horizontal="right"/>
    </xf>
    <xf numFmtId="165" fontId="62" fillId="11" borderId="5" xfId="1" applyNumberFormat="1" applyFont="1" applyFill="1" applyBorder="1" applyAlignment="1">
      <alignment horizontal="right"/>
    </xf>
    <xf numFmtId="165" fontId="62" fillId="11" borderId="28" xfId="1" applyNumberFormat="1" applyFont="1" applyFill="1" applyBorder="1" applyAlignment="1">
      <alignment horizontal="right"/>
    </xf>
    <xf numFmtId="165" fontId="62" fillId="11" borderId="27" xfId="1" applyNumberFormat="1" applyFont="1" applyFill="1" applyBorder="1" applyAlignment="1">
      <alignment horizontal="right"/>
    </xf>
    <xf numFmtId="164" fontId="58" fillId="2" borderId="31"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Border="1" applyAlignment="1">
      <alignment horizontal="right"/>
    </xf>
    <xf numFmtId="164" fontId="2" fillId="3" borderId="31"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69" fillId="0" borderId="3" xfId="0" applyFont="1" applyBorder="1"/>
    <xf numFmtId="0" fontId="67" fillId="0" borderId="3" xfId="0" applyFont="1" applyBorder="1"/>
    <xf numFmtId="165" fontId="68" fillId="0" borderId="13" xfId="1" applyNumberFormat="1" applyFont="1" applyBorder="1" applyAlignment="1">
      <alignment horizontal="right"/>
    </xf>
    <xf numFmtId="43" fontId="67" fillId="0" borderId="4" xfId="1" applyFont="1" applyBorder="1" applyAlignment="1">
      <alignment horizontal="right"/>
    </xf>
    <xf numFmtId="166" fontId="68" fillId="0" borderId="4" xfId="2" applyNumberFormat="1" applyFont="1" applyBorder="1" applyAlignment="1">
      <alignment horizontal="right"/>
    </xf>
    <xf numFmtId="166" fontId="62" fillId="0" borderId="4" xfId="2" applyNumberFormat="1" applyFont="1" applyBorder="1" applyAlignment="1">
      <alignment horizontal="right"/>
    </xf>
    <xf numFmtId="166" fontId="63" fillId="0" borderId="13" xfId="2" applyNumberFormat="1" applyFont="1" applyBorder="1" applyAlignment="1">
      <alignment horizontal="right"/>
    </xf>
    <xf numFmtId="0" fontId="68" fillId="0" borderId="12" xfId="0" applyFont="1" applyBorder="1" applyAlignment="1">
      <alignment horizontal="left" indent="1"/>
    </xf>
    <xf numFmtId="0" fontId="68" fillId="0" borderId="3" xfId="0" applyFont="1" applyBorder="1" applyAlignment="1">
      <alignment horizontal="left" indent="1"/>
    </xf>
    <xf numFmtId="0" fontId="63" fillId="0" borderId="12" xfId="0" applyFont="1" applyBorder="1" applyAlignment="1">
      <alignment horizontal="left" indent="1"/>
    </xf>
    <xf numFmtId="166" fontId="68" fillId="0" borderId="13" xfId="2" applyNumberFormat="1" applyFont="1" applyBorder="1" applyAlignment="1">
      <alignment horizontal="right"/>
    </xf>
    <xf numFmtId="0" fontId="65" fillId="0" borderId="3" xfId="0" applyFont="1" applyBorder="1"/>
    <xf numFmtId="166" fontId="62" fillId="0" borderId="8" xfId="2" quotePrefix="1" applyNumberFormat="1" applyFont="1" applyBorder="1" applyAlignment="1">
      <alignment horizontal="right"/>
    </xf>
    <xf numFmtId="166" fontId="4" fillId="0" borderId="0" xfId="2" applyNumberFormat="1" applyFont="1" applyAlignment="1">
      <alignment horizontal="right"/>
    </xf>
    <xf numFmtId="5" fontId="65" fillId="0" borderId="4" xfId="1" applyNumberFormat="1" applyFont="1" applyBorder="1" applyAlignment="1">
      <alignment horizontal="right"/>
    </xf>
    <xf numFmtId="165" fontId="62" fillId="0" borderId="4" xfId="1" applyNumberFormat="1" applyFont="1" applyBorder="1" applyAlignment="1">
      <alignment horizontal="right"/>
    </xf>
    <xf numFmtId="167" fontId="62" fillId="0" borderId="0" xfId="1" applyNumberFormat="1" applyFont="1" applyAlignment="1">
      <alignment horizontal="right"/>
    </xf>
    <xf numFmtId="166" fontId="62" fillId="0" borderId="0" xfId="1" applyNumberFormat="1" applyFont="1" applyAlignment="1">
      <alignment horizontal="right"/>
    </xf>
    <xf numFmtId="5" fontId="63" fillId="0" borderId="4" xfId="1" applyNumberFormat="1" applyFont="1" applyBorder="1" applyAlignment="1">
      <alignment horizontal="right"/>
    </xf>
    <xf numFmtId="5" fontId="63" fillId="0" borderId="24" xfId="1" applyNumberFormat="1" applyFont="1" applyBorder="1" applyAlignment="1">
      <alignment horizontal="right"/>
    </xf>
    <xf numFmtId="0" fontId="63" fillId="0" borderId="1" xfId="0" applyFont="1" applyBorder="1" applyAlignment="1">
      <alignment horizontal="left"/>
    </xf>
    <xf numFmtId="5" fontId="63" fillId="0" borderId="11" xfId="1" applyNumberFormat="1" applyFont="1" applyBorder="1" applyAlignment="1">
      <alignment horizontal="right"/>
    </xf>
    <xf numFmtId="0" fontId="62" fillId="0" borderId="1" xfId="0" applyFont="1" applyBorder="1"/>
    <xf numFmtId="5" fontId="62" fillId="0" borderId="4" xfId="1" applyNumberFormat="1" applyFont="1" applyBorder="1" applyAlignment="1">
      <alignment horizontal="right"/>
    </xf>
    <xf numFmtId="10" fontId="62" fillId="9" borderId="11" xfId="1" applyNumberFormat="1" applyFont="1" applyFill="1" applyBorder="1" applyAlignment="1">
      <alignment horizontal="right"/>
    </xf>
    <xf numFmtId="10" fontId="62" fillId="9" borderId="4" xfId="2" applyNumberFormat="1" applyFont="1" applyFill="1" applyBorder="1" applyAlignment="1">
      <alignment horizontal="right"/>
    </xf>
    <xf numFmtId="165" fontId="62" fillId="0" borderId="0" xfId="1" applyNumberFormat="1" applyFont="1" applyAlignment="1">
      <alignment horizontal="left"/>
    </xf>
    <xf numFmtId="43" fontId="62" fillId="0" borderId="0" xfId="1" applyFont="1" applyAlignment="1">
      <alignment horizontal="left"/>
    </xf>
    <xf numFmtId="0" fontId="2" fillId="0" borderId="0" xfId="0" applyFont="1"/>
    <xf numFmtId="164" fontId="6" fillId="2" borderId="32" xfId="1" quotePrefix="1" applyNumberFormat="1" applyFont="1" applyFill="1" applyBorder="1" applyAlignment="1">
      <alignment horizontal="center" vertical="center" wrapText="1"/>
    </xf>
    <xf numFmtId="0" fontId="0" fillId="0" borderId="38" xfId="0" applyBorder="1"/>
    <xf numFmtId="0" fontId="0" fillId="0" borderId="39" xfId="0" applyBorder="1"/>
    <xf numFmtId="0" fontId="0" fillId="0" borderId="36" xfId="0" applyBorder="1"/>
    <xf numFmtId="10" fontId="0" fillId="0" borderId="0" xfId="2" applyNumberFormat="1" applyFont="1"/>
    <xf numFmtId="10" fontId="0" fillId="0" borderId="0" xfId="0" applyNumberFormat="1"/>
    <xf numFmtId="10" fontId="0" fillId="0" borderId="36" xfId="0" applyNumberFormat="1" applyBorder="1"/>
    <xf numFmtId="0" fontId="0" fillId="0" borderId="34" xfId="0" applyBorder="1"/>
    <xf numFmtId="0" fontId="2" fillId="0" borderId="0" xfId="0" applyFont="1" applyAlignment="1">
      <alignment horizontal="right"/>
    </xf>
    <xf numFmtId="0" fontId="2" fillId="0" borderId="39" xfId="0" applyFont="1" applyBorder="1"/>
    <xf numFmtId="0" fontId="0" fillId="12" borderId="0" xfId="0" applyFill="1"/>
    <xf numFmtId="0" fontId="2" fillId="12" borderId="0" xfId="0" applyFont="1" applyFill="1" applyAlignment="1">
      <alignment horizontal="right"/>
    </xf>
    <xf numFmtId="10" fontId="2" fillId="12" borderId="39" xfId="2" applyNumberFormat="1" applyFont="1" applyFill="1" applyBorder="1"/>
    <xf numFmtId="227" fontId="0" fillId="0" borderId="39" xfId="0" applyNumberFormat="1" applyBorder="1"/>
    <xf numFmtId="227" fontId="0" fillId="0" borderId="37" xfId="0" applyNumberFormat="1" applyBorder="1"/>
    <xf numFmtId="0" fontId="72" fillId="0" borderId="0" xfId="0" applyFont="1" applyAlignment="1">
      <alignment horizontal="right"/>
    </xf>
    <xf numFmtId="166" fontId="62" fillId="0" borderId="0" xfId="2" applyNumberFormat="1" applyFont="1" applyAlignment="1">
      <alignment horizontal="left"/>
    </xf>
    <xf numFmtId="9" fontId="62" fillId="0" borderId="0" xfId="1" applyNumberFormat="1" applyFont="1" applyAlignment="1">
      <alignment horizontal="left"/>
    </xf>
    <xf numFmtId="227" fontId="2" fillId="0" borderId="39" xfId="0" applyNumberFormat="1" applyFont="1" applyBorder="1"/>
    <xf numFmtId="0" fontId="0" fillId="0" borderId="35" xfId="0" applyBorder="1"/>
    <xf numFmtId="0" fontId="62" fillId="0" borderId="10" xfId="0" applyFont="1" applyBorder="1" applyAlignment="1">
      <alignment horizontal="left"/>
    </xf>
    <xf numFmtId="0" fontId="63" fillId="0" borderId="6" xfId="0" applyFont="1" applyBorder="1"/>
    <xf numFmtId="43" fontId="64" fillId="0" borderId="4" xfId="1" quotePrefix="1" applyFont="1" applyBorder="1" applyAlignment="1">
      <alignment horizontal="right"/>
    </xf>
    <xf numFmtId="0" fontId="62" fillId="0" borderId="6" xfId="0" applyFont="1" applyBorder="1"/>
    <xf numFmtId="6" fontId="62" fillId="0" borderId="10" xfId="0" applyNumberFormat="1" applyFont="1" applyBorder="1"/>
    <xf numFmtId="0" fontId="62" fillId="0" borderId="4" xfId="0" applyFont="1" applyBorder="1"/>
    <xf numFmtId="165" fontId="74" fillId="0" borderId="5" xfId="1" quotePrefix="1" applyNumberFormat="1" applyFont="1" applyBorder="1" applyAlignment="1">
      <alignment horizontal="right"/>
    </xf>
    <xf numFmtId="43" fontId="63" fillId="0" borderId="8" xfId="1" applyFont="1" applyBorder="1" applyAlignment="1">
      <alignment horizontal="right"/>
    </xf>
    <xf numFmtId="0" fontId="62" fillId="0" borderId="12" xfId="0" applyFont="1" applyBorder="1"/>
    <xf numFmtId="0" fontId="62" fillId="0" borderId="13" xfId="0" applyFont="1" applyBorder="1"/>
    <xf numFmtId="0" fontId="62" fillId="11" borderId="0" xfId="0" applyFont="1" applyFill="1" applyAlignment="1">
      <alignment horizontal="left"/>
    </xf>
    <xf numFmtId="166" fontId="62" fillId="9" borderId="7" xfId="2" applyNumberFormat="1" applyFont="1" applyFill="1" applyBorder="1" applyAlignment="1">
      <alignment horizontal="right"/>
    </xf>
    <xf numFmtId="166" fontId="62" fillId="9" borderId="7" xfId="2" quotePrefix="1" applyNumberFormat="1" applyFont="1" applyFill="1" applyBorder="1" applyAlignment="1">
      <alignment horizontal="right"/>
    </xf>
    <xf numFmtId="9" fontId="4" fillId="0" borderId="0" xfId="1" applyNumberFormat="1" applyFont="1"/>
    <xf numFmtId="9" fontId="62" fillId="9" borderId="0" xfId="2" quotePrefix="1" applyFont="1" applyFill="1" applyAlignment="1">
      <alignment horizontal="right"/>
    </xf>
    <xf numFmtId="225" fontId="63" fillId="0" borderId="10" xfId="1" applyNumberFormat="1" applyFont="1" applyBorder="1" applyAlignment="1">
      <alignment horizontal="right"/>
    </xf>
    <xf numFmtId="165" fontId="70" fillId="0" borderId="4" xfId="1" applyNumberFormat="1" applyFont="1" applyBorder="1" applyAlignment="1">
      <alignment horizontal="right"/>
    </xf>
    <xf numFmtId="43" fontId="64" fillId="0" borderId="4" xfId="1" applyFont="1" applyBorder="1" applyAlignment="1">
      <alignment horizontal="right"/>
    </xf>
    <xf numFmtId="165" fontId="0" fillId="0" borderId="33" xfId="1" applyNumberFormat="1" applyFont="1" applyBorder="1"/>
    <xf numFmtId="10" fontId="0" fillId="0" borderId="33" xfId="2" applyNumberFormat="1" applyFont="1" applyBorder="1"/>
    <xf numFmtId="10" fontId="0" fillId="0" borderId="33" xfId="0" applyNumberFormat="1" applyBorder="1"/>
    <xf numFmtId="10" fontId="0" fillId="0" borderId="36" xfId="2" applyNumberFormat="1" applyFont="1" applyBorder="1"/>
    <xf numFmtId="166" fontId="62" fillId="9" borderId="4" xfId="2" applyNumberFormat="1" applyFont="1" applyFill="1" applyBorder="1" applyAlignment="1">
      <alignment horizontal="right"/>
    </xf>
    <xf numFmtId="165" fontId="73" fillId="0" borderId="0" xfId="1" applyNumberFormat="1" applyFont="1" applyAlignment="1">
      <alignment horizontal="right"/>
    </xf>
    <xf numFmtId="0" fontId="62" fillId="0" borderId="3" xfId="3" applyFont="1" applyBorder="1" applyAlignment="1">
      <alignment horizontal="left" vertical="top"/>
    </xf>
    <xf numFmtId="0" fontId="62" fillId="0" borderId="4" xfId="3" applyFont="1" applyBorder="1" applyAlignment="1">
      <alignment horizontal="left" vertical="top"/>
    </xf>
    <xf numFmtId="17" fontId="62" fillId="0" borderId="0" xfId="1" applyNumberFormat="1" applyFont="1" applyAlignment="1">
      <alignment horizontal="right" wrapText="1"/>
    </xf>
    <xf numFmtId="0" fontId="62" fillId="0" borderId="4" xfId="0" applyFont="1" applyBorder="1" applyAlignment="1">
      <alignment horizontal="left" indent="1"/>
    </xf>
    <xf numFmtId="0" fontId="62" fillId="0" borderId="3" xfId="0" applyFont="1" applyBorder="1" applyAlignment="1">
      <alignment horizontal="left" indent="3"/>
    </xf>
    <xf numFmtId="0" fontId="63" fillId="0" borderId="3" xfId="0" applyFont="1" applyBorder="1" applyAlignment="1">
      <alignment horizontal="left" indent="4"/>
    </xf>
    <xf numFmtId="0" fontId="62" fillId="0" borderId="3" xfId="0" applyFont="1" applyBorder="1" applyAlignment="1">
      <alignment horizontal="left" indent="5"/>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64" fillId="0" borderId="0" xfId="1" applyNumberFormat="1" applyFont="1" applyAlignment="1">
      <alignment horizontal="right"/>
    </xf>
    <xf numFmtId="164" fontId="64"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4" fillId="9" borderId="0" xfId="1" applyNumberFormat="1" applyFont="1" applyFill="1" applyAlignment="1">
      <alignment horizontal="right"/>
    </xf>
    <xf numFmtId="165" fontId="55" fillId="0" borderId="5" xfId="1" quotePrefix="1" applyNumberFormat="1" applyFont="1" applyBorder="1" applyAlignment="1">
      <alignment horizontal="right"/>
    </xf>
    <xf numFmtId="165" fontId="4" fillId="0" borderId="27" xfId="1" quotePrefix="1" applyNumberFormat="1" applyFont="1" applyBorder="1" applyAlignment="1">
      <alignment horizontal="right"/>
    </xf>
    <xf numFmtId="9" fontId="75" fillId="0" borderId="0" xfId="2" applyFont="1" applyAlignment="1">
      <alignment horizontal="right"/>
    </xf>
    <xf numFmtId="9" fontId="75" fillId="0" borderId="5" xfId="2" applyFont="1" applyBorder="1" applyAlignment="1">
      <alignment horizontal="right"/>
    </xf>
    <xf numFmtId="9" fontId="63" fillId="0" borderId="5" xfId="2" applyFont="1" applyBorder="1" applyAlignment="1">
      <alignment horizontal="right"/>
    </xf>
    <xf numFmtId="164" fontId="55" fillId="0" borderId="5" xfId="1" quotePrefix="1" applyNumberFormat="1" applyFont="1" applyBorder="1" applyAlignment="1">
      <alignment horizontal="right"/>
    </xf>
    <xf numFmtId="9" fontId="63" fillId="9" borderId="0" xfId="2" applyFont="1" applyFill="1" applyAlignment="1">
      <alignment horizontal="right"/>
    </xf>
    <xf numFmtId="167" fontId="62" fillId="9" borderId="0" xfId="1" applyNumberFormat="1" applyFont="1" applyFill="1" applyAlignment="1">
      <alignment horizontal="right"/>
    </xf>
    <xf numFmtId="0" fontId="76" fillId="0" borderId="0" xfId="0" applyFont="1"/>
    <xf numFmtId="0" fontId="76" fillId="0" borderId="3" xfId="0" applyFont="1" applyBorder="1" applyAlignment="1">
      <alignment horizontal="left"/>
    </xf>
    <xf numFmtId="0" fontId="76" fillId="0" borderId="4" xfId="0" applyFont="1" applyBorder="1" applyAlignment="1">
      <alignment horizontal="left"/>
    </xf>
    <xf numFmtId="165" fontId="76" fillId="0" borderId="0" xfId="1" applyNumberFormat="1" applyFont="1" applyAlignment="1">
      <alignment horizontal="right"/>
    </xf>
    <xf numFmtId="165" fontId="76" fillId="9" borderId="0" xfId="1" applyNumberFormat="1" applyFont="1" applyFill="1" applyAlignment="1">
      <alignment horizontal="right"/>
    </xf>
    <xf numFmtId="165" fontId="76" fillId="0" borderId="5" xfId="1" quotePrefix="1" applyNumberFormat="1" applyFont="1" applyBorder="1" applyAlignment="1">
      <alignment horizontal="right"/>
    </xf>
    <xf numFmtId="167" fontId="76" fillId="9" borderId="0" xfId="1" applyNumberFormat="1" applyFont="1" applyFill="1" applyAlignment="1">
      <alignment horizontal="right"/>
    </xf>
    <xf numFmtId="0" fontId="76" fillId="0" borderId="3" xfId="0" applyFont="1" applyBorder="1" applyAlignment="1">
      <alignment horizontal="left" indent="2"/>
    </xf>
    <xf numFmtId="0" fontId="76" fillId="0" borderId="4" xfId="0" applyFont="1" applyBorder="1" applyAlignment="1">
      <alignment horizontal="left" indent="1"/>
    </xf>
    <xf numFmtId="164" fontId="76" fillId="0" borderId="0" xfId="1" applyNumberFormat="1" applyFont="1" applyAlignment="1">
      <alignment horizontal="right"/>
    </xf>
    <xf numFmtId="164" fontId="76" fillId="0" borderId="5" xfId="1" quotePrefix="1" applyNumberFormat="1" applyFont="1" applyBorder="1" applyAlignment="1">
      <alignment horizontal="right"/>
    </xf>
    <xf numFmtId="167" fontId="76" fillId="0" borderId="0" xfId="1" applyNumberFormat="1" applyFont="1" applyAlignment="1">
      <alignment horizontal="right"/>
    </xf>
    <xf numFmtId="165" fontId="63" fillId="0" borderId="29" xfId="1" applyNumberFormat="1" applyFont="1" applyBorder="1" applyAlignment="1">
      <alignment horizontal="right"/>
    </xf>
    <xf numFmtId="165" fontId="55" fillId="0" borderId="30" xfId="1" quotePrefix="1" applyNumberFormat="1" applyFont="1" applyBorder="1" applyAlignment="1">
      <alignment horizontal="right"/>
    </xf>
    <xf numFmtId="0" fontId="62" fillId="0" borderId="12" xfId="0" applyFont="1" applyBorder="1" applyAlignment="1">
      <alignment horizontal="left" indent="2"/>
    </xf>
    <xf numFmtId="0" fontId="62" fillId="0" borderId="13" xfId="0" applyFont="1" applyBorder="1" applyAlignment="1">
      <alignment horizontal="left" indent="1"/>
    </xf>
    <xf numFmtId="9" fontId="62" fillId="9" borderId="28" xfId="2" applyFont="1" applyFill="1" applyBorder="1" applyAlignment="1">
      <alignment horizontal="right"/>
    </xf>
    <xf numFmtId="164" fontId="63" fillId="0" borderId="28" xfId="1" applyNumberFormat="1" applyFont="1" applyBorder="1" applyAlignment="1">
      <alignment horizontal="right"/>
    </xf>
    <xf numFmtId="164" fontId="55" fillId="0" borderId="27" xfId="1" quotePrefix="1" applyNumberFormat="1" applyFont="1" applyBorder="1" applyAlignment="1">
      <alignment horizontal="right"/>
    </xf>
    <xf numFmtId="164" fontId="63" fillId="0" borderId="27" xfId="1" quotePrefix="1" applyNumberFormat="1" applyFont="1" applyBorder="1" applyAlignment="1">
      <alignment horizontal="right"/>
    </xf>
    <xf numFmtId="164" fontId="62" fillId="0" borderId="0" xfId="2" applyNumberFormat="1" applyFont="1" applyAlignment="1">
      <alignment horizontal="right"/>
    </xf>
    <xf numFmtId="164" fontId="64" fillId="0" borderId="0" xfId="2" applyNumberFormat="1" applyFont="1" applyAlignment="1">
      <alignment horizontal="right"/>
    </xf>
    <xf numFmtId="164" fontId="63" fillId="0" borderId="0" xfId="2" applyNumberFormat="1" applyFont="1" applyAlignment="1">
      <alignment horizontal="right"/>
    </xf>
    <xf numFmtId="166" fontId="63" fillId="0" borderId="0" xfId="2" applyNumberFormat="1" applyFont="1" applyAlignment="1">
      <alignment horizontal="right"/>
    </xf>
    <xf numFmtId="43" fontId="76" fillId="0" borderId="0" xfId="1" applyFont="1"/>
    <xf numFmtId="43" fontId="76" fillId="0" borderId="4" xfId="1" applyFont="1" applyBorder="1"/>
    <xf numFmtId="43" fontId="76" fillId="0" borderId="5" xfId="1" quotePrefix="1" applyFont="1" applyBorder="1" applyAlignment="1">
      <alignment horizontal="right"/>
    </xf>
    <xf numFmtId="43" fontId="76" fillId="0" borderId="3" xfId="1" applyFont="1" applyBorder="1" applyAlignment="1">
      <alignment horizontal="left" indent="4"/>
    </xf>
    <xf numFmtId="166" fontId="76" fillId="0" borderId="0" xfId="2" applyNumberFormat="1" applyFont="1" applyAlignment="1">
      <alignment horizontal="right"/>
    </xf>
    <xf numFmtId="166" fontId="76" fillId="9" borderId="0" xfId="2" applyNumberFormat="1" applyFont="1" applyFill="1" applyAlignment="1">
      <alignment horizontal="right"/>
    </xf>
    <xf numFmtId="164" fontId="62" fillId="0" borderId="30" xfId="1" applyNumberFormat="1" applyFont="1" applyBorder="1" applyAlignment="1">
      <alignment horizontal="right"/>
    </xf>
    <xf numFmtId="164" fontId="64" fillId="0" borderId="5" xfId="2" applyNumberFormat="1" applyFont="1" applyBorder="1" applyAlignment="1">
      <alignment horizontal="right"/>
    </xf>
    <xf numFmtId="0" fontId="78" fillId="0" borderId="0" xfId="0" applyFont="1"/>
    <xf numFmtId="0" fontId="79" fillId="0" borderId="4" xfId="0" applyFont="1" applyBorder="1" applyAlignment="1">
      <alignment horizontal="left"/>
    </xf>
    <xf numFmtId="0" fontId="77" fillId="0" borderId="13" xfId="0" applyFont="1" applyBorder="1"/>
    <xf numFmtId="164" fontId="77" fillId="0" borderId="28" xfId="1" applyNumberFormat="1" applyFont="1" applyBorder="1" applyAlignment="1">
      <alignment horizontal="right"/>
    </xf>
    <xf numFmtId="164" fontId="77" fillId="0" borderId="27" xfId="1" applyNumberFormat="1" applyFont="1" applyBorder="1" applyAlignment="1">
      <alignment horizontal="right"/>
    </xf>
    <xf numFmtId="43" fontId="77" fillId="0" borderId="42" xfId="1" applyFont="1" applyBorder="1" applyAlignment="1">
      <alignment horizontal="right"/>
    </xf>
    <xf numFmtId="43" fontId="77" fillId="0" borderId="40" xfId="1" applyFont="1" applyBorder="1" applyAlignment="1">
      <alignment horizontal="right"/>
    </xf>
    <xf numFmtId="43" fontId="62" fillId="9" borderId="7" xfId="1" applyFont="1" applyFill="1" applyBorder="1" applyAlignment="1">
      <alignment horizontal="right"/>
    </xf>
    <xf numFmtId="9" fontId="66" fillId="0" borderId="0" xfId="2" applyFont="1" applyAlignment="1">
      <alignment horizontal="right"/>
    </xf>
    <xf numFmtId="0" fontId="77" fillId="0" borderId="26" xfId="0" applyFont="1" applyBorder="1" applyAlignment="1">
      <alignment horizontal="left"/>
    </xf>
    <xf numFmtId="0" fontId="77" fillId="0" borderId="12" xfId="0" applyFont="1" applyBorder="1" applyAlignment="1">
      <alignment horizontal="left" indent="2"/>
    </xf>
    <xf numFmtId="0" fontId="77" fillId="0" borderId="13" xfId="0" applyFont="1" applyBorder="1" applyAlignment="1">
      <alignment horizontal="left"/>
    </xf>
    <xf numFmtId="0" fontId="76" fillId="0" borderId="25" xfId="0" applyFont="1" applyBorder="1" applyAlignment="1">
      <alignment horizontal="left" indent="1"/>
    </xf>
    <xf numFmtId="0" fontId="76" fillId="0" borderId="26" xfId="0" applyFont="1" applyBorder="1"/>
    <xf numFmtId="164" fontId="80" fillId="0" borderId="29" xfId="1" applyNumberFormat="1" applyFont="1" applyBorder="1" applyAlignment="1">
      <alignment horizontal="right"/>
    </xf>
    <xf numFmtId="164" fontId="80" fillId="0" borderId="30" xfId="1" applyNumberFormat="1" applyFont="1" applyBorder="1" applyAlignment="1">
      <alignment horizontal="right"/>
    </xf>
    <xf numFmtId="164" fontId="81" fillId="0" borderId="29" xfId="1" applyNumberFormat="1" applyFont="1" applyBorder="1" applyAlignment="1">
      <alignment horizontal="right"/>
    </xf>
    <xf numFmtId="164" fontId="81" fillId="0" borderId="30" xfId="1" applyNumberFormat="1" applyFont="1" applyBorder="1" applyAlignment="1">
      <alignment horizontal="right"/>
    </xf>
    <xf numFmtId="0" fontId="77" fillId="0" borderId="41" xfId="0" applyFont="1" applyBorder="1" applyAlignment="1">
      <alignment horizontal="left" indent="2"/>
    </xf>
    <xf numFmtId="0" fontId="62" fillId="11" borderId="4" xfId="0" applyFont="1" applyFill="1" applyBorder="1" applyAlignment="1">
      <alignment horizontal="left" indent="1"/>
    </xf>
    <xf numFmtId="9" fontId="62" fillId="0" borderId="7" xfId="2" applyFont="1" applyBorder="1" applyAlignment="1">
      <alignment horizontal="right"/>
    </xf>
    <xf numFmtId="9" fontId="62" fillId="9" borderId="7" xfId="2" applyFont="1" applyFill="1" applyBorder="1" applyAlignment="1">
      <alignment horizontal="right"/>
    </xf>
    <xf numFmtId="164" fontId="62" fillId="9" borderId="0" xfId="1" applyNumberFormat="1" applyFont="1" applyFill="1" applyAlignment="1">
      <alignment horizontal="right"/>
    </xf>
    <xf numFmtId="164" fontId="62" fillId="0" borderId="29" xfId="1" applyNumberFormat="1" applyFont="1" applyBorder="1" applyAlignment="1">
      <alignment horizontal="right"/>
    </xf>
    <xf numFmtId="43" fontId="62" fillId="0" borderId="5" xfId="1" quotePrefix="1" applyFont="1" applyBorder="1" applyAlignment="1">
      <alignment horizontal="right"/>
    </xf>
    <xf numFmtId="166" fontId="62"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10" fontId="4" fillId="0" borderId="0" xfId="2" applyNumberFormat="1" applyFont="1" applyAlignment="1">
      <alignment horizontal="right"/>
    </xf>
    <xf numFmtId="0" fontId="4" fillId="0" borderId="10" xfId="0" applyFont="1" applyBorder="1" applyAlignment="1">
      <alignment horizontal="left"/>
    </xf>
    <xf numFmtId="164" fontId="63" fillId="0" borderId="5" xfId="1" quotePrefix="1" applyNumberFormat="1" applyFont="1" applyBorder="1" applyAlignment="1">
      <alignment horizontal="right"/>
    </xf>
    <xf numFmtId="166" fontId="63" fillId="0" borderId="5" xfId="2" quotePrefix="1" applyNumberFormat="1" applyFont="1" applyBorder="1" applyAlignment="1">
      <alignment horizontal="right"/>
    </xf>
    <xf numFmtId="165" fontId="64" fillId="11" borderId="5" xfId="1" applyNumberFormat="1" applyFont="1" applyFill="1" applyBorder="1" applyAlignment="1">
      <alignment horizontal="right"/>
    </xf>
    <xf numFmtId="165" fontId="63" fillId="11" borderId="5" xfId="1" applyNumberFormat="1" applyFont="1" applyFill="1" applyBorder="1" applyAlignment="1">
      <alignment horizontal="right"/>
    </xf>
    <xf numFmtId="165" fontId="54" fillId="3" borderId="0" xfId="1" quotePrefix="1" applyNumberFormat="1" applyFont="1" applyFill="1" applyAlignment="1">
      <alignment horizontal="right"/>
    </xf>
    <xf numFmtId="165" fontId="54" fillId="3" borderId="5" xfId="1" quotePrefix="1" applyNumberFormat="1" applyFont="1" applyFill="1" applyBorder="1" applyAlignment="1">
      <alignment horizontal="right"/>
    </xf>
    <xf numFmtId="165" fontId="63" fillId="0" borderId="8" xfId="1" applyNumberFormat="1" applyFont="1" applyBorder="1" applyAlignment="1">
      <alignment horizontal="right"/>
    </xf>
    <xf numFmtId="165" fontId="4" fillId="11" borderId="29" xfId="1" applyNumberFormat="1" applyFont="1" applyFill="1" applyBorder="1" applyAlignment="1">
      <alignment horizontal="right"/>
    </xf>
    <xf numFmtId="165" fontId="62" fillId="11" borderId="30" xfId="1" applyNumberFormat="1" applyFont="1" applyFill="1" applyBorder="1" applyAlignment="1">
      <alignment horizontal="right"/>
    </xf>
    <xf numFmtId="165" fontId="64" fillId="11" borderId="0" xfId="1" applyNumberFormat="1" applyFont="1" applyFill="1" applyAlignment="1">
      <alignment horizontal="right"/>
    </xf>
    <xf numFmtId="165" fontId="62" fillId="0" borderId="30" xfId="1" applyNumberFormat="1" applyFont="1" applyBorder="1" applyAlignment="1">
      <alignment horizontal="right"/>
    </xf>
    <xf numFmtId="165" fontId="62" fillId="9" borderId="29" xfId="1" applyNumberFormat="1" applyFont="1" applyFill="1" applyBorder="1" applyAlignment="1">
      <alignment horizontal="right"/>
    </xf>
    <xf numFmtId="165" fontId="62" fillId="11" borderId="29" xfId="1" applyNumberFormat="1" applyFont="1" applyFill="1" applyBorder="1" applyAlignment="1">
      <alignment horizontal="right"/>
    </xf>
    <xf numFmtId="165" fontId="63" fillId="11" borderId="30" xfId="1" applyNumberFormat="1" applyFont="1" applyFill="1" applyBorder="1" applyAlignment="1">
      <alignment horizontal="right"/>
    </xf>
    <xf numFmtId="0" fontId="82" fillId="0" borderId="31" xfId="0" applyFont="1" applyBorder="1" applyAlignment="1">
      <alignment vertical="top"/>
    </xf>
    <xf numFmtId="0" fontId="0" fillId="0" borderId="5" xfId="0" applyBorder="1" applyAlignment="1">
      <alignment horizontal="left" vertical="top" wrapText="1"/>
    </xf>
    <xf numFmtId="0" fontId="0" fillId="0" borderId="40" xfId="0" applyBorder="1" applyAlignment="1">
      <alignment horizontal="left" vertical="top" wrapText="1"/>
    </xf>
    <xf numFmtId="0" fontId="2" fillId="0" borderId="5" xfId="0" applyFont="1" applyBorder="1" applyAlignment="1">
      <alignment horizontal="left" vertical="top" wrapText="1"/>
    </xf>
    <xf numFmtId="0" fontId="0" fillId="0" borderId="30"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xf>
    <xf numFmtId="0" fontId="83" fillId="0" borderId="40" xfId="0" applyFont="1" applyBorder="1" applyAlignment="1">
      <alignment horizontal="left" vertical="top" wrapText="1"/>
    </xf>
    <xf numFmtId="0" fontId="83" fillId="0" borderId="30" xfId="0" applyFont="1" applyBorder="1" applyAlignment="1">
      <alignment horizontal="left" vertical="top" wrapText="1"/>
    </xf>
    <xf numFmtId="0" fontId="2" fillId="0" borderId="40" xfId="0" applyFont="1" applyBorder="1" applyAlignment="1">
      <alignment horizontal="left" vertical="top" wrapText="1"/>
    </xf>
    <xf numFmtId="0" fontId="0" fillId="0" borderId="27" xfId="0" applyBorder="1" applyAlignment="1">
      <alignment horizontal="left" vertical="top" wrapText="1"/>
    </xf>
    <xf numFmtId="0" fontId="62" fillId="0" borderId="4" xfId="0" applyFont="1" applyBorder="1" applyAlignment="1">
      <alignment horizontal="left"/>
    </xf>
    <xf numFmtId="0" fontId="62" fillId="0" borderId="10" xfId="0" applyFont="1" applyBorder="1" applyAlignment="1">
      <alignment horizontal="left"/>
    </xf>
    <xf numFmtId="0" fontId="85" fillId="0" borderId="0" xfId="0" applyFont="1"/>
    <xf numFmtId="0" fontId="4" fillId="0" borderId="0" xfId="0" applyFont="1" applyFill="1"/>
    <xf numFmtId="0" fontId="77" fillId="0" borderId="43" xfId="0" applyFont="1" applyBorder="1" applyAlignment="1">
      <alignment horizontal="left" indent="1"/>
    </xf>
    <xf numFmtId="165" fontId="62" fillId="0" borderId="0" xfId="1" applyNumberFormat="1" applyFont="1" applyFill="1" applyAlignment="1">
      <alignment horizontal="right"/>
    </xf>
    <xf numFmtId="165" fontId="62" fillId="0" borderId="5" xfId="1" applyNumberFormat="1" applyFont="1" applyFill="1" applyBorder="1" applyAlignment="1">
      <alignment horizontal="right"/>
    </xf>
    <xf numFmtId="43" fontId="62" fillId="0" borderId="0" xfId="1" applyNumberFormat="1" applyFont="1" applyFill="1" applyAlignment="1">
      <alignment horizontal="right"/>
    </xf>
    <xf numFmtId="164" fontId="63" fillId="0" borderId="0" xfId="1" applyNumberFormat="1" applyFont="1" applyFill="1" applyAlignment="1">
      <alignment horizontal="right"/>
    </xf>
    <xf numFmtId="164" fontId="64" fillId="0" borderId="0" xfId="1" applyNumberFormat="1" applyFont="1" applyFill="1" applyAlignment="1">
      <alignment horizontal="right"/>
    </xf>
    <xf numFmtId="164" fontId="62" fillId="0" borderId="0" xfId="1" applyNumberFormat="1" applyFont="1" applyFill="1" applyAlignment="1">
      <alignment horizontal="right"/>
    </xf>
    <xf numFmtId="164" fontId="54" fillId="0" borderId="0" xfId="1" applyNumberFormat="1" applyFont="1" applyFill="1" applyAlignment="1">
      <alignment horizontal="right"/>
    </xf>
    <xf numFmtId="164" fontId="80" fillId="0" borderId="29" xfId="1" applyNumberFormat="1" applyFont="1" applyFill="1" applyBorder="1" applyAlignment="1">
      <alignment horizontal="right"/>
    </xf>
    <xf numFmtId="164" fontId="77" fillId="0" borderId="28" xfId="1" applyNumberFormat="1" applyFont="1" applyFill="1" applyBorder="1" applyAlignment="1">
      <alignment horizontal="right"/>
    </xf>
    <xf numFmtId="164" fontId="81" fillId="0" borderId="29" xfId="1" applyNumberFormat="1" applyFont="1" applyFill="1" applyBorder="1" applyAlignment="1">
      <alignment horizontal="right"/>
    </xf>
    <xf numFmtId="43" fontId="63" fillId="0" borderId="0" xfId="1" applyFont="1" applyFill="1" applyAlignment="1">
      <alignment horizontal="right"/>
    </xf>
    <xf numFmtId="43" fontId="77" fillId="0" borderId="42" xfId="1" applyFont="1" applyFill="1" applyBorder="1" applyAlignment="1">
      <alignment horizontal="right"/>
    </xf>
    <xf numFmtId="43" fontId="62" fillId="0" borderId="7" xfId="1" applyFont="1" applyFill="1" applyBorder="1" applyAlignment="1">
      <alignment horizontal="right"/>
    </xf>
    <xf numFmtId="0" fontId="55" fillId="0" borderId="0" xfId="0" applyFont="1" applyFill="1"/>
    <xf numFmtId="43" fontId="76" fillId="0" borderId="0" xfId="1" applyFont="1" applyFill="1"/>
    <xf numFmtId="165" fontId="64" fillId="0" borderId="0" xfId="1" applyNumberFormat="1" applyFont="1" applyFill="1" applyAlignment="1">
      <alignment horizontal="right"/>
    </xf>
    <xf numFmtId="7" fontId="62" fillId="0" borderId="0" xfId="1" applyNumberFormat="1" applyFont="1" applyFill="1" applyAlignment="1">
      <alignment horizontal="right"/>
    </xf>
    <xf numFmtId="0" fontId="76" fillId="0" borderId="0" xfId="0" applyFont="1" applyFill="1"/>
    <xf numFmtId="164" fontId="62" fillId="0" borderId="5" xfId="1" applyNumberFormat="1" applyFont="1" applyFill="1" applyBorder="1" applyAlignment="1">
      <alignment horizontal="right"/>
    </xf>
    <xf numFmtId="164" fontId="63" fillId="0" borderId="5" xfId="1" applyNumberFormat="1" applyFont="1" applyFill="1" applyBorder="1" applyAlignment="1">
      <alignment horizontal="right"/>
    </xf>
    <xf numFmtId="164" fontId="76" fillId="0" borderId="0" xfId="1" applyNumberFormat="1" applyFont="1" applyFill="1" applyAlignment="1">
      <alignment horizontal="right"/>
    </xf>
    <xf numFmtId="166" fontId="62" fillId="0" borderId="0" xfId="2" applyNumberFormat="1" applyFont="1" applyFill="1" applyAlignment="1">
      <alignment horizontal="left"/>
    </xf>
    <xf numFmtId="165" fontId="62" fillId="0" borderId="0" xfId="1" quotePrefix="1" applyNumberFormat="1" applyFont="1" applyFill="1" applyAlignment="1">
      <alignment horizontal="right"/>
    </xf>
    <xf numFmtId="166" fontId="62" fillId="0" borderId="0" xfId="2" applyNumberFormat="1" applyFont="1" applyFill="1" applyAlignment="1">
      <alignment horizontal="right"/>
    </xf>
    <xf numFmtId="167" fontId="62" fillId="0" borderId="0" xfId="1" applyNumberFormat="1" applyFont="1" applyFill="1" applyAlignment="1">
      <alignment horizontal="right"/>
    </xf>
    <xf numFmtId="164" fontId="63" fillId="0" borderId="28" xfId="1" applyNumberFormat="1" applyFont="1" applyFill="1" applyBorder="1" applyAlignment="1">
      <alignment horizontal="right"/>
    </xf>
    <xf numFmtId="43" fontId="77" fillId="0" borderId="40" xfId="1" applyFont="1" applyFill="1" applyBorder="1" applyAlignment="1">
      <alignment horizontal="right"/>
    </xf>
    <xf numFmtId="43" fontId="77" fillId="0" borderId="42" xfId="1" applyNumberFormat="1" applyFont="1" applyFill="1" applyBorder="1" applyAlignment="1">
      <alignment horizontal="right"/>
    </xf>
    <xf numFmtId="166" fontId="76" fillId="0" borderId="0" xfId="2" applyNumberFormat="1" applyFont="1" applyFill="1" applyAlignment="1">
      <alignment horizontal="right"/>
    </xf>
    <xf numFmtId="164" fontId="64" fillId="0" borderId="5" xfId="1" applyNumberFormat="1" applyFont="1" applyFill="1" applyBorder="1" applyAlignment="1">
      <alignment horizontal="right"/>
    </xf>
    <xf numFmtId="165" fontId="63" fillId="0" borderId="0" xfId="1" applyNumberFormat="1" applyFont="1" applyFill="1" applyAlignment="1">
      <alignment horizontal="right"/>
    </xf>
    <xf numFmtId="165" fontId="63" fillId="0" borderId="29" xfId="1" applyNumberFormat="1" applyFont="1" applyFill="1" applyBorder="1" applyAlignment="1">
      <alignment horizontal="right"/>
    </xf>
    <xf numFmtId="9" fontId="62" fillId="0" borderId="0" xfId="2" applyFont="1" applyFill="1" applyAlignment="1">
      <alignment horizontal="right"/>
    </xf>
    <xf numFmtId="167" fontId="76" fillId="0" borderId="0" xfId="1" applyNumberFormat="1" applyFont="1" applyFill="1" applyAlignment="1">
      <alignment horizontal="right"/>
    </xf>
    <xf numFmtId="164" fontId="62" fillId="0" borderId="0" xfId="2" applyNumberFormat="1" applyFont="1" applyFill="1" applyAlignment="1">
      <alignment horizontal="right"/>
    </xf>
    <xf numFmtId="164" fontId="64" fillId="0" borderId="0" xfId="2" applyNumberFormat="1" applyFont="1" applyFill="1" applyAlignment="1">
      <alignment horizontal="right"/>
    </xf>
    <xf numFmtId="9" fontId="62" fillId="0" borderId="28" xfId="2" applyFont="1" applyFill="1" applyBorder="1" applyAlignment="1">
      <alignment horizontal="right"/>
    </xf>
    <xf numFmtId="165" fontId="76" fillId="0" borderId="0" xfId="1" applyNumberFormat="1" applyFont="1" applyFill="1" applyAlignment="1">
      <alignment horizontal="right"/>
    </xf>
    <xf numFmtId="165" fontId="62" fillId="0" borderId="5" xfId="1" quotePrefix="1" applyNumberFormat="1" applyFont="1" applyFill="1" applyBorder="1" applyAlignment="1">
      <alignment horizontal="right"/>
    </xf>
    <xf numFmtId="10" fontId="66" fillId="0" borderId="0" xfId="2" applyNumberFormat="1" applyFont="1" applyAlignment="1">
      <alignment horizontal="right"/>
    </xf>
    <xf numFmtId="164" fontId="64" fillId="9" borderId="0" xfId="2" applyNumberFormat="1" applyFont="1" applyFill="1" applyAlignment="1">
      <alignment horizontal="right"/>
    </xf>
    <xf numFmtId="0" fontId="62" fillId="0" borderId="3" xfId="0" applyFont="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2" fillId="11" borderId="3" xfId="0" applyFont="1" applyFill="1" applyBorder="1" applyAlignment="1">
      <alignment horizontal="left"/>
    </xf>
    <xf numFmtId="0" fontId="62" fillId="11" borderId="4" xfId="0" applyFont="1" applyFill="1" applyBorder="1" applyAlignment="1">
      <alignment horizontal="left"/>
    </xf>
    <xf numFmtId="0" fontId="63" fillId="0" borderId="3"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4"/>
    </xf>
    <xf numFmtId="0" fontId="76" fillId="0" borderId="25" xfId="0" applyFont="1" applyBorder="1" applyAlignment="1">
      <alignment horizontal="left" indent="5"/>
    </xf>
    <xf numFmtId="0" fontId="77" fillId="0" borderId="12" xfId="0" applyFont="1" applyBorder="1" applyAlignment="1">
      <alignment horizontal="left" indent="6"/>
    </xf>
    <xf numFmtId="43" fontId="63" fillId="0" borderId="5" xfId="1" applyFont="1" applyFill="1" applyBorder="1" applyAlignment="1">
      <alignment horizontal="right"/>
    </xf>
    <xf numFmtId="164" fontId="54"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1" xfId="1" quotePrefix="1" applyNumberFormat="1" applyFont="1" applyFill="1" applyBorder="1" applyAlignment="1">
      <alignment horizontal="right"/>
    </xf>
    <xf numFmtId="165" fontId="62" fillId="0" borderId="29" xfId="1" applyNumberFormat="1" applyFont="1" applyFill="1" applyBorder="1" applyAlignment="1">
      <alignment horizontal="right"/>
    </xf>
    <xf numFmtId="165" fontId="4" fillId="11" borderId="0" xfId="1" applyNumberFormat="1" applyFont="1" applyFill="1" applyAlignment="1">
      <alignment horizontal="right"/>
    </xf>
    <xf numFmtId="165" fontId="4" fillId="0" borderId="29" xfId="1" applyNumberFormat="1" applyFont="1" applyFill="1" applyBorder="1" applyAlignment="1">
      <alignment horizontal="right"/>
    </xf>
    <xf numFmtId="165" fontId="4" fillId="0" borderId="0" xfId="1" applyNumberFormat="1" applyFont="1" applyAlignment="1">
      <alignment horizontal="left"/>
    </xf>
    <xf numFmtId="9" fontId="62" fillId="0" borderId="8" xfId="2" quotePrefix="1" applyFont="1" applyFill="1" applyBorder="1" applyAlignment="1">
      <alignment horizontal="right"/>
    </xf>
    <xf numFmtId="9" fontId="62" fillId="0" borderId="0" xfId="2" quotePrefix="1" applyFont="1" applyFill="1" applyAlignment="1">
      <alignment horizontal="right"/>
    </xf>
    <xf numFmtId="166" fontId="62" fillId="0" borderId="0" xfId="2" quotePrefix="1" applyNumberFormat="1" applyFont="1" applyFill="1" applyAlignment="1">
      <alignment horizontal="right"/>
    </xf>
    <xf numFmtId="166" fontId="62" fillId="0" borderId="5" xfId="2" quotePrefix="1" applyNumberFormat="1" applyFont="1" applyFill="1" applyBorder="1" applyAlignment="1">
      <alignment horizontal="right"/>
    </xf>
    <xf numFmtId="0" fontId="62" fillId="0" borderId="0" xfId="0" applyFont="1" applyFill="1"/>
    <xf numFmtId="164" fontId="62" fillId="0" borderId="0" xfId="1" quotePrefix="1" applyNumberFormat="1" applyFont="1" applyFill="1" applyAlignment="1">
      <alignment horizontal="right"/>
    </xf>
    <xf numFmtId="164" fontId="62" fillId="0" borderId="5" xfId="1" quotePrefix="1" applyNumberFormat="1" applyFont="1" applyFill="1" applyBorder="1" applyAlignment="1">
      <alignment horizontal="right"/>
    </xf>
    <xf numFmtId="43" fontId="62" fillId="0" borderId="5" xfId="1" quotePrefix="1" applyFont="1" applyFill="1" applyBorder="1" applyAlignment="1">
      <alignment horizontal="right"/>
    </xf>
    <xf numFmtId="9" fontId="62" fillId="0" borderId="5" xfId="2" applyFont="1" applyFill="1" applyBorder="1" applyAlignment="1">
      <alignment horizontal="right"/>
    </xf>
    <xf numFmtId="166" fontId="62" fillId="0" borderId="7" xfId="2"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62" fillId="0" borderId="7" xfId="2" quotePrefix="1" applyNumberFormat="1" applyFont="1" applyFill="1" applyBorder="1" applyAlignment="1">
      <alignment horizontal="right"/>
    </xf>
    <xf numFmtId="0" fontId="62" fillId="0" borderId="3" xfId="0" applyFont="1" applyFill="1" applyBorder="1" applyAlignment="1">
      <alignment horizontal="left"/>
    </xf>
    <xf numFmtId="0" fontId="57" fillId="0" borderId="4" xfId="0" applyFont="1" applyFill="1" applyBorder="1" applyAlignment="1">
      <alignment horizontal="left"/>
    </xf>
    <xf numFmtId="43" fontId="66" fillId="0" borderId="0" xfId="1" applyFont="1" applyFill="1" applyAlignment="1">
      <alignment horizontal="right"/>
    </xf>
    <xf numFmtId="9" fontId="66" fillId="0" borderId="0" xfId="2" applyFont="1" applyFill="1" applyAlignment="1">
      <alignment horizontal="right"/>
    </xf>
    <xf numFmtId="9" fontId="4" fillId="0" borderId="0" xfId="2" applyFont="1" applyFill="1" applyAlignment="1">
      <alignment horizontal="right"/>
    </xf>
    <xf numFmtId="165" fontId="66" fillId="0" borderId="0" xfId="2" applyNumberFormat="1" applyFont="1" applyFill="1" applyAlignment="1">
      <alignment horizontal="right"/>
    </xf>
    <xf numFmtId="165" fontId="76" fillId="0" borderId="5" xfId="1" quotePrefix="1" applyNumberFormat="1" applyFont="1" applyFill="1" applyBorder="1" applyAlignment="1">
      <alignment horizontal="right"/>
    </xf>
    <xf numFmtId="165" fontId="74" fillId="0" borderId="5" xfId="1" quotePrefix="1" applyNumberFormat="1" applyFont="1" applyFill="1" applyBorder="1" applyAlignment="1">
      <alignment horizontal="right"/>
    </xf>
    <xf numFmtId="164" fontId="63" fillId="0" borderId="27" xfId="1" quotePrefix="1" applyNumberFormat="1" applyFont="1" applyFill="1" applyBorder="1" applyAlignment="1">
      <alignment horizontal="right"/>
    </xf>
    <xf numFmtId="164" fontId="62" fillId="0" borderId="30"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4" fillId="0" borderId="5" xfId="2" applyNumberFormat="1" applyFont="1" applyFill="1" applyBorder="1" applyAlignment="1">
      <alignment horizontal="right"/>
    </xf>
    <xf numFmtId="164" fontId="63" fillId="0" borderId="5" xfId="1" quotePrefix="1" applyNumberFormat="1" applyFont="1" applyFill="1" applyBorder="1" applyAlignment="1">
      <alignment horizontal="right"/>
    </xf>
    <xf numFmtId="166" fontId="63" fillId="0" borderId="5" xfId="2" quotePrefix="1" applyNumberFormat="1" applyFont="1" applyFill="1" applyBorder="1" applyAlignment="1">
      <alignment horizontal="right"/>
    </xf>
    <xf numFmtId="9" fontId="63" fillId="0" borderId="5" xfId="2" applyFont="1" applyFill="1" applyBorder="1" applyAlignment="1">
      <alignment horizontal="right"/>
    </xf>
    <xf numFmtId="43" fontId="76" fillId="0" borderId="5" xfId="1" quotePrefix="1" applyFont="1" applyFill="1" applyBorder="1" applyAlignment="1">
      <alignment horizontal="right"/>
    </xf>
    <xf numFmtId="0" fontId="62" fillId="0" borderId="3" xfId="0" applyFont="1" applyFill="1" applyBorder="1" applyAlignment="1">
      <alignment horizontal="left" indent="2"/>
    </xf>
    <xf numFmtId="0" fontId="4" fillId="0" borderId="4" xfId="0" applyFont="1" applyFill="1" applyBorder="1"/>
    <xf numFmtId="0" fontId="63" fillId="0" borderId="0" xfId="0" applyFont="1" applyFill="1"/>
    <xf numFmtId="0" fontId="63" fillId="0" borderId="3" xfId="0" applyFont="1" applyFill="1" applyBorder="1" applyAlignment="1">
      <alignment horizontal="left" indent="4"/>
    </xf>
    <xf numFmtId="0" fontId="63" fillId="0" borderId="4" xfId="0" applyFont="1" applyFill="1" applyBorder="1"/>
    <xf numFmtId="0" fontId="63" fillId="0" borderId="3" xfId="0" applyFont="1" applyFill="1" applyBorder="1" applyAlignment="1">
      <alignment horizontal="left" indent="5"/>
    </xf>
    <xf numFmtId="0" fontId="55" fillId="0" borderId="4" xfId="0" applyFont="1" applyFill="1" applyBorder="1"/>
    <xf numFmtId="0" fontId="78" fillId="0" borderId="0" xfId="0" applyFont="1" applyFill="1"/>
    <xf numFmtId="166" fontId="62" fillId="0" borderId="5" xfId="2" applyNumberFormat="1" applyFont="1" applyFill="1" applyBorder="1" applyAlignment="1">
      <alignment horizontal="right"/>
    </xf>
    <xf numFmtId="43" fontId="64" fillId="0" borderId="0" xfId="1" applyNumberFormat="1" applyFont="1" applyFill="1" applyAlignment="1">
      <alignment horizontal="right"/>
    </xf>
    <xf numFmtId="164" fontId="80" fillId="0" borderId="30" xfId="1" applyNumberFormat="1" applyFont="1" applyFill="1" applyBorder="1" applyAlignment="1">
      <alignment horizontal="right"/>
    </xf>
    <xf numFmtId="164" fontId="77" fillId="0" borderId="27" xfId="1" applyNumberFormat="1" applyFont="1" applyFill="1" applyBorder="1" applyAlignment="1">
      <alignment horizontal="right"/>
    </xf>
    <xf numFmtId="164" fontId="81" fillId="0" borderId="30" xfId="1" applyNumberFormat="1" applyFont="1" applyFill="1" applyBorder="1" applyAlignment="1">
      <alignment horizontal="right"/>
    </xf>
    <xf numFmtId="43" fontId="63" fillId="0" borderId="8" xfId="1" applyFont="1" applyFill="1" applyBorder="1" applyAlignment="1">
      <alignment horizontal="right"/>
    </xf>
    <xf numFmtId="166" fontId="66" fillId="0" borderId="0" xfId="2" applyNumberFormat="1" applyFont="1" applyFill="1" applyAlignment="1">
      <alignment horizontal="right"/>
    </xf>
    <xf numFmtId="165" fontId="62" fillId="10" borderId="0" xfId="1" applyNumberFormat="1" applyFont="1" applyFill="1" applyAlignment="1">
      <alignment horizontal="right"/>
    </xf>
    <xf numFmtId="164" fontId="62" fillId="0" borderId="0" xfId="1" applyNumberFormat="1" applyFont="1" applyBorder="1" applyAlignment="1">
      <alignment horizontal="right"/>
    </xf>
    <xf numFmtId="164" fontId="62" fillId="0" borderId="28" xfId="1" applyNumberFormat="1" applyFont="1" applyBorder="1" applyAlignment="1">
      <alignment horizontal="right"/>
    </xf>
    <xf numFmtId="164" fontId="62" fillId="0" borderId="27" xfId="1" applyNumberFormat="1" applyFont="1" applyBorder="1" applyAlignment="1">
      <alignment horizontal="right"/>
    </xf>
    <xf numFmtId="164" fontId="62" fillId="0" borderId="0" xfId="1" applyNumberFormat="1" applyFont="1" applyFill="1" applyBorder="1" applyAlignment="1">
      <alignment horizontal="right"/>
    </xf>
    <xf numFmtId="7" fontId="62" fillId="0" borderId="25" xfId="1" applyNumberFormat="1" applyFont="1" applyBorder="1" applyAlignment="1">
      <alignment horizontal="right"/>
    </xf>
    <xf numFmtId="7" fontId="62" fillId="0" borderId="29" xfId="1" applyNumberFormat="1" applyFont="1" applyFill="1" applyBorder="1" applyAlignment="1">
      <alignment horizontal="right"/>
    </xf>
    <xf numFmtId="165" fontId="62" fillId="0" borderId="3" xfId="1" applyNumberFormat="1" applyFont="1" applyBorder="1" applyAlignment="1">
      <alignment horizontal="right"/>
    </xf>
    <xf numFmtId="165" fontId="62" fillId="0" borderId="0" xfId="1" applyNumberFormat="1" applyFont="1" applyFill="1" applyBorder="1" applyAlignment="1">
      <alignment horizontal="right"/>
    </xf>
    <xf numFmtId="164" fontId="62" fillId="0" borderId="12" xfId="1" applyNumberFormat="1" applyFont="1" applyBorder="1" applyAlignment="1">
      <alignment horizontal="right"/>
    </xf>
    <xf numFmtId="0" fontId="62" fillId="0" borderId="3" xfId="0" applyFont="1" applyBorder="1" applyAlignment="1">
      <alignment horizontal="left"/>
    </xf>
    <xf numFmtId="0" fontId="62" fillId="0" borderId="4" xfId="0" applyFont="1" applyBorder="1" applyAlignment="1">
      <alignment horizontal="left"/>
    </xf>
    <xf numFmtId="166" fontId="63" fillId="10" borderId="0" xfId="2" applyNumberFormat="1" applyFont="1" applyFill="1" applyAlignment="1">
      <alignment horizontal="right"/>
    </xf>
    <xf numFmtId="167" fontId="76" fillId="0" borderId="5" xfId="1" quotePrefix="1" applyNumberFormat="1" applyFont="1" applyBorder="1" applyAlignment="1">
      <alignment horizontal="right"/>
    </xf>
    <xf numFmtId="167" fontId="76" fillId="0" borderId="5" xfId="1" quotePrefix="1" applyNumberFormat="1" applyFont="1" applyFill="1" applyBorder="1" applyAlignment="1">
      <alignment horizontal="right"/>
    </xf>
    <xf numFmtId="9" fontId="75" fillId="0" borderId="5" xfId="2" applyFont="1" applyFill="1" applyBorder="1" applyAlignment="1">
      <alignment horizontal="right"/>
    </xf>
    <xf numFmtId="229" fontId="63" fillId="0" borderId="5" xfId="2" applyNumberFormat="1" applyFont="1" applyFill="1" applyBorder="1" applyAlignment="1">
      <alignment horizontal="right"/>
    </xf>
    <xf numFmtId="165" fontId="62" fillId="10" borderId="5" xfId="1" quotePrefix="1" applyNumberFormat="1" applyFont="1" applyFill="1" applyBorder="1" applyAlignment="1">
      <alignment horizontal="right"/>
    </xf>
    <xf numFmtId="166" fontId="62" fillId="10" borderId="27" xfId="2" quotePrefix="1" applyNumberFormat="1" applyFont="1" applyFill="1" applyBorder="1" applyAlignment="1">
      <alignment horizontal="right"/>
    </xf>
    <xf numFmtId="166" fontId="62" fillId="10" borderId="0" xfId="2" applyNumberFormat="1" applyFont="1" applyFill="1" applyAlignment="1">
      <alignment horizontal="right"/>
    </xf>
    <xf numFmtId="164" fontId="64" fillId="10" borderId="5" xfId="1" applyNumberFormat="1" applyFont="1" applyFill="1" applyBorder="1" applyAlignment="1">
      <alignment horizontal="right"/>
    </xf>
    <xf numFmtId="9" fontId="62" fillId="10" borderId="0" xfId="2" applyFont="1" applyFill="1" applyAlignment="1">
      <alignment horizontal="right"/>
    </xf>
    <xf numFmtId="43" fontId="63" fillId="10" borderId="0" xfId="1" applyFont="1" applyFill="1" applyAlignment="1">
      <alignment horizontal="right"/>
    </xf>
    <xf numFmtId="43" fontId="63" fillId="10" borderId="5" xfId="1" applyFont="1" applyFill="1" applyBorder="1" applyAlignment="1">
      <alignment horizontal="right"/>
    </xf>
    <xf numFmtId="9" fontId="4" fillId="0" borderId="0" xfId="2" applyFont="1" applyAlignment="1">
      <alignment horizontal="left"/>
    </xf>
    <xf numFmtId="43" fontId="77" fillId="10" borderId="40" xfId="1" applyFont="1" applyFill="1" applyBorder="1" applyAlignment="1">
      <alignment horizontal="right"/>
    </xf>
    <xf numFmtId="165" fontId="62" fillId="10" borderId="5" xfId="1" applyNumberFormat="1" applyFont="1" applyFill="1" applyBorder="1" applyAlignment="1">
      <alignment horizontal="right"/>
    </xf>
    <xf numFmtId="9" fontId="62" fillId="10" borderId="5" xfId="2" applyFont="1" applyFill="1" applyBorder="1" applyAlignment="1">
      <alignment horizontal="righ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0" borderId="6" xfId="0" applyFont="1" applyFill="1" applyBorder="1" applyAlignment="1">
      <alignment horizontal="left" indent="2"/>
    </xf>
    <xf numFmtId="0" fontId="62" fillId="0" borderId="10" xfId="0" applyFont="1" applyFill="1" applyBorder="1" applyAlignment="1">
      <alignment horizontal="left" indent="1"/>
    </xf>
    <xf numFmtId="165" fontId="4" fillId="11" borderId="29" xfId="1" applyNumberFormat="1" applyFont="1" applyFill="1" applyBorder="1" applyAlignment="1">
      <alignment horizontal="left"/>
    </xf>
    <xf numFmtId="165" fontId="62" fillId="0" borderId="29" xfId="1" applyNumberFormat="1" applyFont="1" applyBorder="1" applyAlignment="1">
      <alignment horizontal="right"/>
    </xf>
    <xf numFmtId="166" fontId="4" fillId="0" borderId="0" xfId="1" applyNumberFormat="1" applyFont="1"/>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5" fillId="0" borderId="9" xfId="1" applyNumberFormat="1" applyFont="1" applyFill="1" applyBorder="1" applyAlignment="1">
      <alignment horizontal="right"/>
    </xf>
    <xf numFmtId="9" fontId="75" fillId="0" borderId="0" xfId="2" applyFont="1" applyFill="1" applyAlignment="1">
      <alignment horizontal="right"/>
    </xf>
    <xf numFmtId="9" fontId="63" fillId="0" borderId="0" xfId="2" applyFont="1" applyFill="1" applyAlignment="1">
      <alignment horizontal="right"/>
    </xf>
    <xf numFmtId="9" fontId="63" fillId="0" borderId="0" xfId="2" applyNumberFormat="1" applyFont="1" applyFill="1" applyAlignment="1">
      <alignment horizontal="right"/>
    </xf>
    <xf numFmtId="164" fontId="55" fillId="0" borderId="27" xfId="1" quotePrefix="1" applyNumberFormat="1" applyFont="1" applyFill="1" applyBorder="1" applyAlignment="1">
      <alignment horizontal="right"/>
    </xf>
    <xf numFmtId="165" fontId="55" fillId="0" borderId="5" xfId="1" quotePrefix="1" applyNumberFormat="1" applyFont="1" applyFill="1" applyBorder="1" applyAlignment="1">
      <alignment horizontal="right"/>
    </xf>
    <xf numFmtId="165" fontId="4" fillId="0" borderId="27" xfId="1" quotePrefix="1" applyNumberFormat="1" applyFont="1" applyFill="1" applyBorder="1" applyAlignment="1">
      <alignment horizontal="right"/>
    </xf>
    <xf numFmtId="164" fontId="63" fillId="0" borderId="0" xfId="2" applyNumberFormat="1" applyFont="1" applyFill="1" applyAlignment="1">
      <alignment horizontal="right"/>
    </xf>
    <xf numFmtId="166" fontId="63" fillId="0" borderId="0" xfId="2" applyNumberFormat="1" applyFont="1" applyFill="1" applyAlignment="1">
      <alignment horizontal="right"/>
    </xf>
    <xf numFmtId="228" fontId="4" fillId="0" borderId="5" xfId="1" quotePrefix="1" applyNumberFormat="1" applyFont="1" applyFill="1" applyBorder="1" applyAlignment="1">
      <alignment horizontal="right"/>
    </xf>
    <xf numFmtId="43" fontId="62" fillId="0" borderId="5" xfId="1" applyNumberFormat="1" applyFont="1" applyFill="1" applyBorder="1" applyAlignment="1">
      <alignment horizontal="right"/>
    </xf>
    <xf numFmtId="43" fontId="64" fillId="0" borderId="5" xfId="1" applyNumberFormat="1" applyFont="1" applyFill="1" applyBorder="1" applyAlignment="1">
      <alignment horizontal="right"/>
    </xf>
    <xf numFmtId="0" fontId="62" fillId="11" borderId="0" xfId="0" applyFont="1" applyFill="1" applyBorder="1" applyAlignment="1">
      <alignment horizontal="left"/>
    </xf>
    <xf numFmtId="0" fontId="63" fillId="11" borderId="3" xfId="0" applyFont="1" applyFill="1" applyBorder="1" applyAlignment="1">
      <alignment horizontal="left" indent="1"/>
    </xf>
    <xf numFmtId="165" fontId="4" fillId="0" borderId="0" xfId="1" applyNumberFormat="1" applyFont="1" applyFill="1"/>
    <xf numFmtId="43" fontId="4" fillId="0" borderId="0" xfId="1" applyFont="1"/>
    <xf numFmtId="14" fontId="0" fillId="0" borderId="3" xfId="0" applyNumberFormat="1" applyBorder="1"/>
    <xf numFmtId="43" fontId="0" fillId="0" borderId="0" xfId="1" applyFont="1" applyFill="1" applyBorder="1"/>
    <xf numFmtId="43" fontId="0" fillId="0" borderId="0" xfId="1" applyFont="1" applyBorder="1"/>
    <xf numFmtId="14" fontId="0" fillId="0" borderId="6" xfId="0" applyNumberFormat="1" applyBorder="1"/>
    <xf numFmtId="43" fontId="0" fillId="0" borderId="7" xfId="1" applyFont="1" applyBorder="1"/>
    <xf numFmtId="166" fontId="0" fillId="0" borderId="36" xfId="2" applyNumberFormat="1" applyFont="1" applyBorder="1"/>
    <xf numFmtId="0" fontId="2" fillId="0" borderId="0" xfId="0" applyFont="1" applyFill="1" applyAlignment="1">
      <alignment horizontal="right"/>
    </xf>
    <xf numFmtId="10" fontId="2" fillId="0" borderId="0" xfId="0" applyNumberFormat="1" applyFont="1" applyFill="1"/>
    <xf numFmtId="226" fontId="62" fillId="0" borderId="4" xfId="2" applyNumberFormat="1" applyFont="1" applyFill="1" applyBorder="1" applyAlignment="1">
      <alignment horizontal="right"/>
    </xf>
    <xf numFmtId="226" fontId="62" fillId="0" borderId="4" xfId="1" applyNumberFormat="1" applyFont="1" applyFill="1" applyBorder="1" applyAlignment="1">
      <alignment horizontal="right"/>
    </xf>
    <xf numFmtId="9" fontId="62" fillId="0" borderId="0" xfId="2" applyFont="1" applyFill="1" applyAlignment="1">
      <alignment horizontal="left"/>
    </xf>
    <xf numFmtId="164" fontId="4" fillId="0" borderId="0" xfId="1" applyNumberFormat="1" applyFont="1" applyFill="1" applyAlignment="1">
      <alignment horizontal="right"/>
    </xf>
    <xf numFmtId="9" fontId="62" fillId="0" borderId="0" xfId="2" applyNumberFormat="1" applyFont="1" applyAlignment="1">
      <alignment horizontal="right"/>
    </xf>
    <xf numFmtId="9" fontId="62" fillId="0" borderId="5" xfId="2" applyNumberFormat="1" applyFont="1" applyBorder="1" applyAlignment="1">
      <alignment horizontal="right"/>
    </xf>
    <xf numFmtId="0" fontId="63" fillId="0" borderId="23" xfId="0" applyFont="1" applyFill="1" applyBorder="1" applyAlignment="1">
      <alignment horizontal="left"/>
    </xf>
    <xf numFmtId="10" fontId="64" fillId="0" borderId="5" xfId="2" applyNumberFormat="1" applyFont="1" applyBorder="1" applyAlignment="1">
      <alignment horizontal="right"/>
    </xf>
    <xf numFmtId="10" fontId="62" fillId="0" borderId="5" xfId="2" applyNumberFormat="1" applyFont="1" applyBorder="1" applyAlignment="1">
      <alignment horizontal="right"/>
    </xf>
    <xf numFmtId="10" fontId="4" fillId="0" borderId="5" xfId="2" quotePrefix="1" applyNumberFormat="1" applyFont="1" applyBorder="1" applyAlignment="1">
      <alignment horizontal="right"/>
    </xf>
    <xf numFmtId="226" fontId="62" fillId="9" borderId="4" xfId="1" applyNumberFormat="1" applyFont="1" applyFill="1" applyBorder="1" applyAlignment="1">
      <alignment horizontal="right"/>
    </xf>
    <xf numFmtId="0" fontId="62" fillId="0" borderId="0" xfId="0" applyFont="1" applyAlignment="1">
      <alignment horizontal="right"/>
    </xf>
    <xf numFmtId="7" fontId="63" fillId="0" borderId="10" xfId="1" applyNumberFormat="1" applyFont="1" applyBorder="1" applyAlignment="1">
      <alignment horizontal="right"/>
    </xf>
    <xf numFmtId="7" fontId="4" fillId="0" borderId="0" xfId="0" applyNumberFormat="1" applyFont="1" applyAlignment="1">
      <alignment horizontal="right"/>
    </xf>
    <xf numFmtId="0" fontId="71" fillId="0" borderId="36" xfId="0" applyFont="1" applyBorder="1" applyAlignment="1">
      <alignment horizontal="right"/>
    </xf>
    <xf numFmtId="10" fontId="71" fillId="0" borderId="37" xfId="1" applyNumberFormat="1" applyFont="1" applyBorder="1"/>
    <xf numFmtId="0" fontId="62" fillId="13" borderId="6" xfId="0" applyFont="1" applyFill="1" applyBorder="1" applyAlignment="1">
      <alignment horizontal="left"/>
    </xf>
    <xf numFmtId="0" fontId="62" fillId="13" borderId="10" xfId="0" applyFont="1" applyFill="1" applyBorder="1" applyAlignment="1">
      <alignment horizontal="left"/>
    </xf>
    <xf numFmtId="0" fontId="4" fillId="0" borderId="0" xfId="0" applyFont="1" applyFill="1" applyAlignment="1">
      <alignment vertical="center"/>
    </xf>
    <xf numFmtId="165" fontId="62" fillId="14" borderId="0" xfId="1" applyNumberFormat="1" applyFont="1" applyFill="1" applyAlignment="1">
      <alignment horizontal="right"/>
    </xf>
    <xf numFmtId="9" fontId="62" fillId="14" borderId="28" xfId="2" applyFont="1" applyFill="1" applyBorder="1" applyAlignment="1">
      <alignment horizontal="right"/>
    </xf>
    <xf numFmtId="166" fontId="63" fillId="14" borderId="0" xfId="2" applyNumberFormat="1" applyFont="1" applyFill="1" applyAlignment="1">
      <alignment horizontal="right"/>
    </xf>
    <xf numFmtId="9" fontId="63" fillId="14" borderId="0" xfId="2" applyFont="1" applyFill="1" applyAlignment="1">
      <alignment horizontal="right"/>
    </xf>
    <xf numFmtId="166" fontId="76" fillId="14" borderId="0" xfId="2" applyNumberFormat="1" applyFont="1" applyFill="1" applyAlignment="1">
      <alignment horizontal="right"/>
    </xf>
    <xf numFmtId="165" fontId="4" fillId="0" borderId="2" xfId="1" applyNumberFormat="1" applyFont="1" applyFill="1" applyBorder="1" applyAlignment="1">
      <alignment horizontal="right" vertical="center"/>
    </xf>
    <xf numFmtId="165" fontId="55" fillId="0" borderId="0" xfId="0" applyNumberFormat="1" applyFont="1" applyFill="1" applyAlignment="1">
      <alignment horizontal="left"/>
    </xf>
    <xf numFmtId="43" fontId="55" fillId="0" borderId="0" xfId="0" applyNumberFormat="1" applyFont="1" applyFill="1" applyAlignment="1">
      <alignment horizontal="left"/>
    </xf>
    <xf numFmtId="166" fontId="63" fillId="14" borderId="5" xfId="2" quotePrefix="1" applyNumberFormat="1" applyFont="1" applyFill="1" applyBorder="1" applyAlignment="1">
      <alignment horizontal="right"/>
    </xf>
    <xf numFmtId="10" fontId="67" fillId="14" borderId="4" xfId="2" applyNumberFormat="1" applyFont="1" applyFill="1" applyBorder="1" applyAlignment="1">
      <alignment horizontal="right"/>
    </xf>
    <xf numFmtId="166" fontId="67" fillId="14" borderId="4" xfId="1" applyNumberFormat="1" applyFont="1" applyFill="1" applyBorder="1" applyAlignment="1">
      <alignment horizontal="right"/>
    </xf>
    <xf numFmtId="43" fontId="67" fillId="14" borderId="4" xfId="1" applyFont="1" applyFill="1" applyBorder="1" applyAlignment="1">
      <alignment horizontal="right"/>
    </xf>
    <xf numFmtId="166" fontId="62" fillId="0" borderId="4" xfId="2" applyNumberFormat="1" applyFont="1" applyBorder="1"/>
    <xf numFmtId="230" fontId="0" fillId="14" borderId="4" xfId="0" applyNumberFormat="1" applyFill="1" applyBorder="1"/>
    <xf numFmtId="230" fontId="62" fillId="0" borderId="4" xfId="0" applyNumberFormat="1" applyFont="1" applyBorder="1"/>
    <xf numFmtId="0" fontId="67" fillId="0" borderId="6" xfId="0" applyFont="1" applyBorder="1"/>
    <xf numFmtId="10" fontId="0" fillId="14" borderId="10" xfId="2" applyNumberFormat="1" applyFont="1" applyFill="1" applyBorder="1"/>
    <xf numFmtId="166" fontId="62" fillId="14" borderId="4" xfId="2" applyNumberFormat="1" applyFont="1" applyFill="1" applyBorder="1" applyAlignment="1">
      <alignment horizontal="right"/>
    </xf>
    <xf numFmtId="7" fontId="67" fillId="0" borderId="4" xfId="1" applyNumberFormat="1" applyFont="1" applyBorder="1" applyAlignment="1">
      <alignment horizontal="right"/>
    </xf>
    <xf numFmtId="0" fontId="61" fillId="0" borderId="4" xfId="0" applyFont="1" applyBorder="1" applyAlignment="1">
      <alignment horizontal="center" wrapText="1"/>
    </xf>
    <xf numFmtId="0" fontId="60" fillId="2" borderId="3" xfId="0" applyFont="1" applyFill="1" applyBorder="1" applyAlignment="1">
      <alignment horizontal="left"/>
    </xf>
    <xf numFmtId="0" fontId="60" fillId="2" borderId="4" xfId="0" applyFont="1" applyFill="1" applyBorder="1" applyAlignment="1">
      <alignment horizontal="left"/>
    </xf>
    <xf numFmtId="0" fontId="65" fillId="11" borderId="25" xfId="0" applyFont="1" applyFill="1" applyBorder="1" applyAlignment="1">
      <alignment horizontal="left"/>
    </xf>
    <xf numFmtId="0" fontId="65" fillId="11" borderId="26" xfId="0" applyFont="1" applyFill="1" applyBorder="1" applyAlignment="1">
      <alignment horizontal="left"/>
    </xf>
    <xf numFmtId="0" fontId="63" fillId="0" borderId="3" xfId="0" applyFont="1" applyBorder="1" applyAlignment="1">
      <alignment horizontal="left" indent="1"/>
    </xf>
    <xf numFmtId="0" fontId="63" fillId="0" borderId="4" xfId="0" applyFont="1" applyBorder="1" applyAlignment="1">
      <alignment horizontal="left" indent="1"/>
    </xf>
    <xf numFmtId="0" fontId="65" fillId="0" borderId="3" xfId="0" applyFont="1" applyBorder="1" applyAlignment="1">
      <alignment horizontal="left"/>
    </xf>
    <xf numFmtId="0" fontId="65" fillId="0" borderId="4" xfId="0" applyFont="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3" fillId="0" borderId="6" xfId="0" applyFont="1" applyBorder="1" applyAlignment="1">
      <alignment horizontal="left" indent="2"/>
    </xf>
    <xf numFmtId="0" fontId="63" fillId="0" borderId="10" xfId="0" applyFont="1" applyBorder="1" applyAlignment="1">
      <alignment horizontal="left" indent="2"/>
    </xf>
    <xf numFmtId="0" fontId="62" fillId="0" borderId="3" xfId="0" applyFont="1" applyBorder="1" applyAlignment="1">
      <alignment horizontal="left"/>
    </xf>
    <xf numFmtId="0" fontId="62" fillId="0" borderId="4" xfId="0" applyFont="1" applyBorder="1" applyAlignment="1">
      <alignment horizontal="left"/>
    </xf>
    <xf numFmtId="0" fontId="60" fillId="2" borderId="1" xfId="0" applyFont="1" applyFill="1" applyBorder="1" applyAlignment="1">
      <alignment horizontal="left"/>
    </xf>
    <xf numFmtId="0" fontId="60" fillId="2"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0" fillId="2" borderId="2" xfId="0" applyFont="1" applyFill="1" applyBorder="1" applyAlignment="1">
      <alignment horizontal="left"/>
    </xf>
    <xf numFmtId="0" fontId="62" fillId="0" borderId="1" xfId="0" applyFont="1" applyBorder="1" applyAlignment="1">
      <alignment horizontal="left" vertical="top" wrapText="1"/>
    </xf>
    <xf numFmtId="0" fontId="62" fillId="0" borderId="11" xfId="0" applyFont="1" applyBorder="1" applyAlignment="1">
      <alignment horizontal="left" vertical="top" wrapText="1"/>
    </xf>
    <xf numFmtId="0" fontId="63" fillId="11" borderId="3" xfId="0" applyFont="1" applyFill="1" applyBorder="1" applyAlignment="1">
      <alignment horizontal="left" indent="1"/>
    </xf>
    <xf numFmtId="0" fontId="63" fillId="11" borderId="4" xfId="0" applyFont="1" applyFill="1" applyBorder="1" applyAlignment="1">
      <alignment horizontal="left" inden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62" fillId="11" borderId="12" xfId="0" applyFont="1" applyFill="1" applyBorder="1" applyAlignment="1">
      <alignment horizontal="left"/>
    </xf>
    <xf numFmtId="0" fontId="62" fillId="11" borderId="13" xfId="0" applyFont="1" applyFill="1" applyBorder="1" applyAlignment="1">
      <alignment horizontal="left"/>
    </xf>
    <xf numFmtId="0" fontId="62" fillId="11" borderId="25" xfId="0" applyFont="1" applyFill="1" applyBorder="1" applyAlignment="1">
      <alignment horizontal="left"/>
    </xf>
    <xf numFmtId="0" fontId="62" fillId="11" borderId="26"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2" fillId="9" borderId="3" xfId="0" applyFont="1" applyFill="1" applyBorder="1" applyAlignment="1">
      <alignment horizontal="left"/>
    </xf>
    <xf numFmtId="0" fontId="62" fillId="9" borderId="4" xfId="0" applyFont="1" applyFill="1" applyBorder="1" applyAlignment="1">
      <alignment horizontal="left"/>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62" fillId="10" borderId="3" xfId="0" applyFont="1" applyFill="1" applyBorder="1" applyAlignment="1">
      <alignment horizontal="left"/>
    </xf>
    <xf numFmtId="0" fontId="62" fillId="10" borderId="4" xfId="0" applyFont="1" applyFill="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3" xfId="0" applyFont="1" applyFill="1" applyBorder="1" applyAlignment="1">
      <alignment horizontal="left" indent="1"/>
    </xf>
    <xf numFmtId="0" fontId="63" fillId="0" borderId="4" xfId="0" applyFont="1" applyFill="1" applyBorder="1" applyAlignment="1">
      <alignment horizontal="left" indent="1"/>
    </xf>
    <xf numFmtId="0" fontId="62" fillId="0" borderId="3" xfId="0" applyFont="1" applyBorder="1" applyAlignment="1">
      <alignment horizontal="left" indent="4"/>
    </xf>
    <xf numFmtId="0" fontId="62" fillId="0" borderId="4" xfId="0" applyFont="1" applyBorder="1" applyAlignment="1">
      <alignment horizontal="left" indent="4"/>
    </xf>
    <xf numFmtId="0" fontId="62" fillId="0" borderId="3" xfId="0" applyFont="1" applyFill="1" applyBorder="1" applyAlignment="1">
      <alignment horizontal="left"/>
    </xf>
    <xf numFmtId="0" fontId="62" fillId="0" borderId="4" xfId="0" applyFont="1" applyFill="1" applyBorder="1" applyAlignment="1">
      <alignment horizontal="left"/>
    </xf>
    <xf numFmtId="0" fontId="62" fillId="0" borderId="3" xfId="0" applyFont="1" applyFill="1" applyBorder="1" applyAlignment="1">
      <alignment horizontal="left" indent="2"/>
    </xf>
    <xf numFmtId="0" fontId="62" fillId="0" borderId="4" xfId="0" applyFont="1" applyFill="1" applyBorder="1" applyAlignment="1">
      <alignment horizontal="left" indent="2"/>
    </xf>
    <xf numFmtId="0" fontId="62" fillId="0" borderId="3" xfId="0" applyFont="1" applyFill="1" applyBorder="1" applyAlignment="1">
      <alignment horizontal="left" indent="5"/>
    </xf>
    <xf numFmtId="0" fontId="62" fillId="0" borderId="4" xfId="0" applyFont="1" applyFill="1" applyBorder="1" applyAlignment="1">
      <alignment horizontal="left" indent="5"/>
    </xf>
    <xf numFmtId="0" fontId="65" fillId="0" borderId="25" xfId="0" applyFont="1" applyBorder="1" applyAlignment="1">
      <alignment horizontal="left"/>
    </xf>
    <xf numFmtId="0" fontId="65" fillId="0" borderId="26"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3" fillId="0" borderId="3" xfId="0" applyFont="1" applyBorder="1" applyAlignment="1">
      <alignment horizontal="left" indent="2"/>
    </xf>
    <xf numFmtId="0" fontId="63" fillId="0" borderId="4" xfId="0" applyFont="1" applyBorder="1" applyAlignment="1">
      <alignment horizontal="left"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63" fillId="0" borderId="12" xfId="0" applyFont="1" applyBorder="1" applyAlignment="1">
      <alignment horizontal="left"/>
    </xf>
    <xf numFmtId="0" fontId="63" fillId="0" borderId="13" xfId="0" applyFont="1" applyBorder="1" applyAlignment="1">
      <alignment horizontal="left"/>
    </xf>
    <xf numFmtId="0" fontId="63" fillId="0" borderId="12" xfId="0" applyFont="1" applyBorder="1" applyAlignment="1">
      <alignment horizontal="left" indent="2"/>
    </xf>
    <xf numFmtId="0" fontId="63" fillId="0" borderId="13" xfId="0" applyFont="1" applyBorder="1" applyAlignment="1">
      <alignment horizontal="left" indent="2"/>
    </xf>
    <xf numFmtId="0" fontId="0" fillId="0" borderId="12" xfId="0" applyBorder="1" applyAlignment="1">
      <alignment horizontal="left"/>
    </xf>
    <xf numFmtId="0" fontId="1" fillId="0" borderId="13" xfId="0" applyFont="1" applyBorder="1" applyAlignment="1">
      <alignment horizontal="left"/>
    </xf>
    <xf numFmtId="0" fontId="62" fillId="14" borderId="3" xfId="0" applyFont="1" applyFill="1" applyBorder="1" applyAlignment="1">
      <alignment horizontal="left"/>
    </xf>
    <xf numFmtId="0" fontId="62" fillId="14" borderId="4" xfId="0" applyFont="1" applyFill="1" applyBorder="1" applyAlignment="1">
      <alignment horizontal="left"/>
    </xf>
    <xf numFmtId="0" fontId="87" fillId="3" borderId="1" xfId="0" applyFont="1" applyFill="1" applyBorder="1" applyAlignment="1">
      <alignment horizontal="left"/>
    </xf>
    <xf numFmtId="0" fontId="87" fillId="3" borderId="11" xfId="0" applyFont="1" applyFill="1" applyBorder="1" applyAlignment="1">
      <alignment horizontal="left"/>
    </xf>
    <xf numFmtId="0" fontId="63" fillId="11" borderId="3" xfId="0" applyFont="1" applyFill="1" applyBorder="1" applyAlignment="1">
      <alignment horizontal="left" indent="2"/>
    </xf>
    <xf numFmtId="0" fontId="63" fillId="11" borderId="4" xfId="0" applyFont="1" applyFill="1" applyBorder="1" applyAlignment="1">
      <alignment horizontal="left" indent="2"/>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Model'!$G$46,'Earnings Model'!$I$46,'Earnings Model'!$J$46,'Earnings Model'!$K$46,'Earnings Model'!$L$46,'Earnings Model'!$N$46,'Earnings Model'!$O$46,'Earnings Model'!$P$46)</c:f>
              <c:strCache>
                <c:ptCount val="8"/>
                <c:pt idx="0">
                  <c:v> Sept-19E </c:v>
                </c:pt>
                <c:pt idx="1">
                  <c:v> Dec-19E </c:v>
                </c:pt>
                <c:pt idx="2">
                  <c:v> Mar-20E </c:v>
                </c:pt>
                <c:pt idx="3">
                  <c:v> June-20E </c:v>
                </c:pt>
                <c:pt idx="4">
                  <c:v> Sept-20E </c:v>
                </c:pt>
                <c:pt idx="5">
                  <c:v> Dec-20E </c:v>
                </c:pt>
                <c:pt idx="6">
                  <c:v> Mar-21E </c:v>
                </c:pt>
                <c:pt idx="7">
                  <c:v> June-21E </c:v>
                </c:pt>
              </c:strCache>
            </c:strRef>
          </c:cat>
          <c:val>
            <c:numRef>
              <c:f>('Earnings Model'!$G$49,'Earnings Model'!$I$49,'Earnings Model'!$J$49,'Earnings Model'!$K$49,'Earnings Model'!$L$49,'Earnings Model'!$N$49,'Earnings Model'!$O$49,'Earnings Model'!$P$49)</c:f>
              <c:numCache>
                <c:formatCode>_(* #,##0_);_(* \(#,##0\);_(* "-"??_);_(@_)</c:formatCode>
                <c:ptCount val="8"/>
                <c:pt idx="0">
                  <c:v>9974</c:v>
                </c:pt>
                <c:pt idx="1">
                  <c:v>10020</c:v>
                </c:pt>
                <c:pt idx="2">
                  <c:v>10051</c:v>
                </c:pt>
                <c:pt idx="3">
                  <c:v>10017</c:v>
                </c:pt>
                <c:pt idx="4">
                  <c:v>10086</c:v>
                </c:pt>
                <c:pt idx="5">
                  <c:v>10118</c:v>
                </c:pt>
                <c:pt idx="6">
                  <c:v>10150</c:v>
                </c:pt>
                <c:pt idx="7">
                  <c:v>10182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Model'!$G$12,'Earnings Model'!$I$12,'Earnings Model'!$J$12,'Earnings Model'!$K$12,'Earnings Model'!$L$12,'Earnings Model'!$N$12,'Earnings Model'!$O$12,'Earnings Model'!$P$12)</c:f>
              <c:strCache>
                <c:ptCount val="8"/>
                <c:pt idx="0">
                  <c:v> Sept-19E </c:v>
                </c:pt>
                <c:pt idx="1">
                  <c:v> Dec-19E </c:v>
                </c:pt>
                <c:pt idx="2">
                  <c:v> Mar-20E </c:v>
                </c:pt>
                <c:pt idx="3">
                  <c:v> June-20E </c:v>
                </c:pt>
                <c:pt idx="4">
                  <c:v> Sept-20E </c:v>
                </c:pt>
                <c:pt idx="5">
                  <c:v> Dec-20E </c:v>
                </c:pt>
                <c:pt idx="6">
                  <c:v> Mar-21E </c:v>
                </c:pt>
                <c:pt idx="7">
                  <c:v> June-21E </c:v>
                </c:pt>
              </c:strCache>
            </c:strRef>
          </c:cat>
          <c:val>
            <c:numRef>
              <c:f>('Earnings Model'!$G$78,'Earnings Model'!$I$78,'Earnings Model'!$J$78,'Earnings Model'!$K$78,'Earnings Model'!$L$78,'Earnings Model'!$N$78,'Earnings Model'!$O$78,'Earnings Model'!$P$78)</c:f>
              <c:numCache>
                <c:formatCode>0.0%</c:formatCode>
                <c:ptCount val="8"/>
                <c:pt idx="0">
                  <c:v>0.20185320548652022</c:v>
                </c:pt>
                <c:pt idx="1">
                  <c:v>0.21928196531561192</c:v>
                </c:pt>
                <c:pt idx="2">
                  <c:v>0.14346420323325632</c:v>
                </c:pt>
                <c:pt idx="3">
                  <c:v>-0.14432364997326666</c:v>
                </c:pt>
                <c:pt idx="4">
                  <c:v>0.13375902126195771</c:v>
                </c:pt>
                <c:pt idx="5">
                  <c:v>0.20396634452037124</c:v>
                </c:pt>
                <c:pt idx="6">
                  <c:v>0.20949977373044254</c:v>
                </c:pt>
                <c:pt idx="7">
                  <c:v>0.20925000143857492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xdr:col>
      <xdr:colOff>236802</xdr:colOff>
      <xdr:row>182</xdr:row>
      <xdr:rowOff>0</xdr:rowOff>
    </xdr:from>
    <xdr:to>
      <xdr:col>3</xdr:col>
      <xdr:colOff>0</xdr:colOff>
      <xdr:row>182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239</xdr:row>
      <xdr:rowOff>0</xdr:rowOff>
    </xdr:from>
    <xdr:to>
      <xdr:col>3</xdr:col>
      <xdr:colOff>0</xdr:colOff>
      <xdr:row>239</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286</xdr:row>
      <xdr:rowOff>0</xdr:rowOff>
    </xdr:from>
    <xdr:to>
      <xdr:col>3</xdr:col>
      <xdr:colOff>0</xdr:colOff>
      <xdr:row>286</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46</xdr:row>
      <xdr:rowOff>0</xdr:rowOff>
    </xdr:from>
    <xdr:to>
      <xdr:col>3</xdr:col>
      <xdr:colOff>0</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223</xdr:row>
      <xdr:rowOff>0</xdr:rowOff>
    </xdr:from>
    <xdr:to>
      <xdr:col>3</xdr:col>
      <xdr:colOff>0</xdr:colOff>
      <xdr:row>223</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9427-692F-478D-9680-5C669F95B8B1}">
  <dimension ref="B2:B21"/>
  <sheetViews>
    <sheetView showGridLines="0" topLeftCell="A4" workbookViewId="0">
      <selection activeCell="B11" sqref="B11"/>
    </sheetView>
  </sheetViews>
  <sheetFormatPr defaultRowHeight="15" x14ac:dyDescent="0.25"/>
  <cols>
    <col min="1" max="1" width="2" customWidth="1"/>
    <col min="2" max="2" width="182.7109375" customWidth="1"/>
  </cols>
  <sheetData>
    <row r="2" spans="2:2" ht="21" x14ac:dyDescent="0.25">
      <c r="B2" s="279" t="s">
        <v>261</v>
      </c>
    </row>
    <row r="3" spans="2:2" ht="135" x14ac:dyDescent="0.25">
      <c r="B3" s="280" t="s">
        <v>262</v>
      </c>
    </row>
    <row r="4" spans="2:2" ht="45" x14ac:dyDescent="0.25">
      <c r="B4" s="281" t="s">
        <v>263</v>
      </c>
    </row>
    <row r="5" spans="2:2" ht="30" x14ac:dyDescent="0.25">
      <c r="B5" s="281" t="s">
        <v>276</v>
      </c>
    </row>
    <row r="6" spans="2:2" ht="120" x14ac:dyDescent="0.25">
      <c r="B6" s="281" t="s">
        <v>264</v>
      </c>
    </row>
    <row r="7" spans="2:2" ht="30" x14ac:dyDescent="0.25">
      <c r="B7" s="281" t="s">
        <v>279</v>
      </c>
    </row>
    <row r="8" spans="2:2" ht="241.9" customHeight="1" x14ac:dyDescent="0.25">
      <c r="B8" s="289" t="s">
        <v>328</v>
      </c>
    </row>
    <row r="9" spans="2:2" ht="30" x14ac:dyDescent="0.25">
      <c r="B9" s="281" t="s">
        <v>265</v>
      </c>
    </row>
    <row r="10" spans="2:2" x14ac:dyDescent="0.25">
      <c r="B10" s="281" t="s">
        <v>266</v>
      </c>
    </row>
    <row r="11" spans="2:2" ht="67.5" customHeight="1" x14ac:dyDescent="0.25">
      <c r="B11" s="286" t="s">
        <v>267</v>
      </c>
    </row>
    <row r="12" spans="2:2" x14ac:dyDescent="0.25">
      <c r="B12" s="280" t="s">
        <v>277</v>
      </c>
    </row>
    <row r="13" spans="2:2" x14ac:dyDescent="0.25">
      <c r="B13" s="281" t="s">
        <v>268</v>
      </c>
    </row>
    <row r="14" spans="2:2" ht="45" x14ac:dyDescent="0.25">
      <c r="B14" s="280" t="s">
        <v>269</v>
      </c>
    </row>
    <row r="15" spans="2:2" x14ac:dyDescent="0.25">
      <c r="B15" s="287" t="s">
        <v>270</v>
      </c>
    </row>
    <row r="16" spans="2:2" x14ac:dyDescent="0.25">
      <c r="B16" s="282" t="s">
        <v>271</v>
      </c>
    </row>
    <row r="17" spans="2:2" x14ac:dyDescent="0.25">
      <c r="B17" s="282" t="s">
        <v>272</v>
      </c>
    </row>
    <row r="18" spans="2:2" ht="155.25" customHeight="1" x14ac:dyDescent="0.25">
      <c r="B18" s="288" t="s">
        <v>273</v>
      </c>
    </row>
    <row r="19" spans="2:2" x14ac:dyDescent="0.25">
      <c r="B19" s="283" t="s">
        <v>274</v>
      </c>
    </row>
    <row r="20" spans="2:2" x14ac:dyDescent="0.25">
      <c r="B20" s="284" t="s">
        <v>275</v>
      </c>
    </row>
    <row r="21" spans="2:2" x14ac:dyDescent="0.25">
      <c r="B21" s="285"/>
    </row>
  </sheetData>
  <hyperlinks>
    <hyperlink ref="B20" r:id="rId1" xr:uid="{D61DA783-4822-4D3E-A4AE-36E83ED535A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340"/>
  <sheetViews>
    <sheetView showGridLines="0" tabSelected="1" topLeftCell="A3" zoomScaleNormal="100" workbookViewId="0">
      <pane xSplit="3" ySplit="11" topLeftCell="D14" activePane="bottomRight" state="frozen"/>
      <selection activeCell="A3" sqref="A3"/>
      <selection pane="topRight" activeCell="D3" sqref="D3"/>
      <selection pane="bottomLeft" activeCell="A14" sqref="A14"/>
      <selection pane="bottomRight" activeCell="D14" sqref="D14"/>
    </sheetView>
  </sheetViews>
  <sheetFormatPr defaultColWidth="8.85546875" defaultRowHeight="15" outlineLevelRow="1" outlineLevelCol="1" x14ac:dyDescent="0.25"/>
  <cols>
    <col min="1" max="1" width="3.140625" style="4" customWidth="1"/>
    <col min="2" max="2" width="33.5703125" style="4" customWidth="1"/>
    <col min="3" max="3" width="25.28515625"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0" width="11.5703125" style="3" customWidth="1" outlineLevel="1"/>
    <col min="31" max="32" width="11.5703125" style="11" customWidth="1" outlineLevel="1"/>
    <col min="33" max="33" width="11.5703125" style="11" customWidth="1"/>
    <col min="34" max="35" width="11.5703125" style="3" customWidth="1" outlineLevel="1"/>
    <col min="36" max="37" width="11.5703125" style="11" customWidth="1" outlineLevel="1"/>
    <col min="38" max="38" width="11.5703125" style="11" customWidth="1"/>
    <col min="39" max="16384" width="8.85546875" style="4"/>
  </cols>
  <sheetData>
    <row r="1" spans="1:56" ht="24.75" customHeight="1" x14ac:dyDescent="0.25">
      <c r="B1" s="292" t="s">
        <v>57</v>
      </c>
    </row>
    <row r="2" spans="1:56" ht="45" customHeight="1" x14ac:dyDescent="0.25">
      <c r="B2" s="517" t="s">
        <v>56</v>
      </c>
      <c r="C2" s="518"/>
      <c r="K2" s="470" t="s">
        <v>365</v>
      </c>
      <c r="L2" s="37">
        <v>3614.6689724019225</v>
      </c>
      <c r="M2" s="38">
        <v>3614.5689724019248</v>
      </c>
      <c r="N2" s="37">
        <v>3718.5629557462753</v>
      </c>
      <c r="O2" s="37">
        <v>2875.6839087908816</v>
      </c>
      <c r="P2" s="37">
        <v>2341.6821757436555</v>
      </c>
      <c r="Q2" s="37">
        <v>2262.038652491301</v>
      </c>
      <c r="R2" s="38">
        <v>2262.0386524913038</v>
      </c>
      <c r="S2" s="37">
        <v>2634.7667475951985</v>
      </c>
      <c r="T2" s="37">
        <v>2205.1479076892347</v>
      </c>
      <c r="U2" s="37">
        <v>2070.909344778137</v>
      </c>
      <c r="V2" s="37">
        <v>2113.4232838120706</v>
      </c>
      <c r="W2" s="38">
        <v>2113.4232838120688</v>
      </c>
      <c r="X2" s="37">
        <v>2657.4458461299009</v>
      </c>
      <c r="Y2" s="37">
        <v>2257.6246220900371</v>
      </c>
      <c r="Z2" s="37">
        <v>2260.8403657818121</v>
      </c>
      <c r="AA2" s="37">
        <v>2392.9830408281646</v>
      </c>
      <c r="AB2" s="38">
        <v>2392.9830408281687</v>
      </c>
      <c r="AC2" s="37">
        <v>2884.9322465364485</v>
      </c>
      <c r="AD2" s="37">
        <v>2374.1360151229551</v>
      </c>
      <c r="AE2" s="37">
        <v>2282.483060162735</v>
      </c>
      <c r="AF2" s="37">
        <v>2336.9484559271114</v>
      </c>
      <c r="AG2" s="38">
        <v>2336.9484559271114</v>
      </c>
      <c r="AH2" s="37">
        <v>2572.9883752225369</v>
      </c>
      <c r="AI2" s="37">
        <v>1734.5719421543447</v>
      </c>
      <c r="AJ2" s="37">
        <v>1356.1354360102152</v>
      </c>
      <c r="AK2" s="37">
        <v>1122.2390540630793</v>
      </c>
      <c r="AL2" s="38">
        <v>1122.2390540630768</v>
      </c>
    </row>
    <row r="3" spans="1:56" ht="17.25" x14ac:dyDescent="0.4">
      <c r="B3" s="531" t="s">
        <v>363</v>
      </c>
      <c r="C3" s="532"/>
      <c r="K3" s="470" t="s">
        <v>366</v>
      </c>
      <c r="L3" s="40">
        <f>L277</f>
        <v>3686.8185906645049</v>
      </c>
      <c r="M3" s="41">
        <f t="shared" ref="M3:AL3" si="0">M277</f>
        <v>3686.7185906645082</v>
      </c>
      <c r="N3" s="40">
        <f t="shared" si="0"/>
        <v>3875.3814618441911</v>
      </c>
      <c r="O3" s="40">
        <f t="shared" si="0"/>
        <v>3172.7140452266722</v>
      </c>
      <c r="P3" s="40">
        <f t="shared" si="0"/>
        <v>2695.7967373633046</v>
      </c>
      <c r="Q3" s="40">
        <f t="shared" si="0"/>
        <v>2661.4695764151033</v>
      </c>
      <c r="R3" s="41">
        <f t="shared" si="0"/>
        <v>2661.4695764151038</v>
      </c>
      <c r="S3" s="40">
        <f t="shared" si="0"/>
        <v>3107.4763661360976</v>
      </c>
      <c r="T3" s="40">
        <f t="shared" si="0"/>
        <v>2792.6843207482038</v>
      </c>
      <c r="U3" s="40">
        <f t="shared" si="0"/>
        <v>2841.9316545820448</v>
      </c>
      <c r="V3" s="40">
        <f t="shared" si="0"/>
        <v>2931.1140185462764</v>
      </c>
      <c r="W3" s="41">
        <f t="shared" si="0"/>
        <v>2931.1140185462791</v>
      </c>
      <c r="X3" s="40">
        <f t="shared" si="0"/>
        <v>3586.2413332944288</v>
      </c>
      <c r="Y3" s="40">
        <f t="shared" si="0"/>
        <v>3340.2791348107057</v>
      </c>
      <c r="Z3" s="40">
        <f t="shared" si="0"/>
        <v>3535.8388925588697</v>
      </c>
      <c r="AA3" s="40">
        <f t="shared" si="0"/>
        <v>3776.0383674105851</v>
      </c>
      <c r="AB3" s="41">
        <f t="shared" si="0"/>
        <v>3776.0383674105815</v>
      </c>
      <c r="AC3" s="40">
        <f t="shared" si="0"/>
        <v>4446.3678995384798</v>
      </c>
      <c r="AD3" s="40">
        <f t="shared" si="0"/>
        <v>4152.2869322638962</v>
      </c>
      <c r="AE3" s="40">
        <f t="shared" si="0"/>
        <v>4292.9278853843498</v>
      </c>
      <c r="AF3" s="40">
        <f t="shared" si="0"/>
        <v>4526.467350499408</v>
      </c>
      <c r="AG3" s="41">
        <f t="shared" si="0"/>
        <v>4526.4673504994144</v>
      </c>
      <c r="AH3" s="40">
        <f t="shared" si="0"/>
        <v>4967.270580325152</v>
      </c>
      <c r="AI3" s="40">
        <f t="shared" si="0"/>
        <v>4390.0348278434594</v>
      </c>
      <c r="AJ3" s="40">
        <f t="shared" si="0"/>
        <v>4296.2873038772532</v>
      </c>
      <c r="AK3" s="40">
        <f t="shared" si="0"/>
        <v>4243.0207705865769</v>
      </c>
      <c r="AL3" s="41">
        <f t="shared" si="0"/>
        <v>4243.0207705865714</v>
      </c>
      <c r="AM3" s="37"/>
    </row>
    <row r="4" spans="1:56" x14ac:dyDescent="0.25">
      <c r="B4" s="565" t="s">
        <v>371</v>
      </c>
      <c r="C4" s="566"/>
      <c r="K4" s="470" t="s">
        <v>367</v>
      </c>
      <c r="L4" s="37">
        <f>L3-L2</f>
        <v>72.149618262582408</v>
      </c>
      <c r="M4" s="38">
        <f t="shared" ref="M4:AL4" si="1">M3-M2</f>
        <v>72.149618262583317</v>
      </c>
      <c r="N4" s="37">
        <f t="shared" si="1"/>
        <v>156.81850609791582</v>
      </c>
      <c r="O4" s="37">
        <f t="shared" si="1"/>
        <v>297.03013643579061</v>
      </c>
      <c r="P4" s="37">
        <f t="shared" si="1"/>
        <v>354.11456161964907</v>
      </c>
      <c r="Q4" s="37">
        <f t="shared" si="1"/>
        <v>399.43092392380231</v>
      </c>
      <c r="R4" s="38">
        <f t="shared" si="1"/>
        <v>399.43092392380004</v>
      </c>
      <c r="S4" s="37">
        <f t="shared" si="1"/>
        <v>472.7096185408991</v>
      </c>
      <c r="T4" s="37">
        <f t="shared" si="1"/>
        <v>587.53641305896917</v>
      </c>
      <c r="U4" s="37">
        <f t="shared" si="1"/>
        <v>771.02230980390777</v>
      </c>
      <c r="V4" s="37">
        <f t="shared" si="1"/>
        <v>817.69073473420576</v>
      </c>
      <c r="W4" s="38">
        <f t="shared" si="1"/>
        <v>817.69073473421031</v>
      </c>
      <c r="X4" s="37">
        <f t="shared" si="1"/>
        <v>928.79548716452791</v>
      </c>
      <c r="Y4" s="37">
        <f t="shared" si="1"/>
        <v>1082.6545127206687</v>
      </c>
      <c r="Z4" s="37">
        <f t="shared" si="1"/>
        <v>1274.9985267770576</v>
      </c>
      <c r="AA4" s="37">
        <f t="shared" si="1"/>
        <v>1383.0553265824205</v>
      </c>
      <c r="AB4" s="38">
        <f t="shared" si="1"/>
        <v>1383.0553265824128</v>
      </c>
      <c r="AC4" s="37">
        <f t="shared" si="1"/>
        <v>1561.4356530020314</v>
      </c>
      <c r="AD4" s="37">
        <f t="shared" si="1"/>
        <v>1778.1509171409411</v>
      </c>
      <c r="AE4" s="37">
        <f t="shared" si="1"/>
        <v>2010.4448252216148</v>
      </c>
      <c r="AF4" s="37">
        <f t="shared" si="1"/>
        <v>2189.5188945722966</v>
      </c>
      <c r="AG4" s="38">
        <f t="shared" si="1"/>
        <v>2189.518894572303</v>
      </c>
      <c r="AH4" s="37">
        <f t="shared" si="1"/>
        <v>2394.2822051026151</v>
      </c>
      <c r="AI4" s="37">
        <f t="shared" si="1"/>
        <v>2655.462885689115</v>
      </c>
      <c r="AJ4" s="37">
        <f t="shared" si="1"/>
        <v>2940.1518678670382</v>
      </c>
      <c r="AK4" s="37">
        <f t="shared" si="1"/>
        <v>3120.7817165234974</v>
      </c>
      <c r="AL4" s="38">
        <f t="shared" si="1"/>
        <v>3120.7817165234947</v>
      </c>
      <c r="BD4" s="292" t="s">
        <v>57</v>
      </c>
    </row>
    <row r="5" spans="1:56" x14ac:dyDescent="0.25">
      <c r="B5" s="537" t="s">
        <v>364</v>
      </c>
      <c r="C5" s="538"/>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56" hidden="1" x14ac:dyDescent="0.25">
      <c r="B6" s="475" t="s">
        <v>362</v>
      </c>
      <c r="C6" s="47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56" ht="14.45" customHeight="1" x14ac:dyDescent="0.25">
      <c r="B7" s="127" t="s">
        <v>51</v>
      </c>
      <c r="C7" s="128">
        <f>C300</f>
        <v>92.565549911208862</v>
      </c>
      <c r="D7" s="12"/>
      <c r="E7" s="134"/>
      <c r="F7" s="133"/>
      <c r="G7" s="12"/>
      <c r="H7" s="134"/>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56" ht="14.45" customHeight="1" x14ac:dyDescent="0.25">
      <c r="B8" s="90" t="s">
        <v>52</v>
      </c>
      <c r="C8" s="121">
        <f>C327</f>
        <v>87.500876910139681</v>
      </c>
      <c r="D8" s="49"/>
      <c r="E8" s="134"/>
      <c r="F8" s="133"/>
      <c r="G8" s="49"/>
      <c r="H8" s="134"/>
      <c r="I8" s="49"/>
      <c r="J8" s="49"/>
      <c r="K8" s="49"/>
      <c r="L8" s="49"/>
      <c r="M8" s="49"/>
      <c r="N8" s="49"/>
      <c r="O8" s="49"/>
      <c r="P8" s="49"/>
      <c r="Q8" s="49"/>
      <c r="R8" s="49"/>
      <c r="S8" s="49"/>
      <c r="T8" s="49"/>
      <c r="U8" s="49"/>
      <c r="V8" s="49"/>
      <c r="W8" s="49"/>
      <c r="X8" s="49"/>
      <c r="Y8" s="49"/>
      <c r="Z8" s="49"/>
      <c r="AA8" s="49"/>
      <c r="AB8" s="60"/>
      <c r="AC8" s="49"/>
      <c r="AD8" s="49"/>
      <c r="AE8" s="49"/>
      <c r="AF8" s="49"/>
      <c r="AG8" s="60"/>
      <c r="AH8" s="49"/>
      <c r="AI8" s="49"/>
      <c r="AJ8" s="49"/>
      <c r="AK8" s="49"/>
      <c r="AL8" s="60"/>
    </row>
    <row r="9" spans="1:56" ht="14.45" customHeight="1" x14ac:dyDescent="0.25">
      <c r="B9" s="90" t="s">
        <v>67</v>
      </c>
      <c r="C9" s="125">
        <f>(0.5*C7)+(0.5*C8)</f>
        <v>90.033213410674279</v>
      </c>
      <c r="D9" s="37"/>
      <c r="E9" s="134"/>
      <c r="F9" s="152"/>
      <c r="G9" s="152"/>
      <c r="H9" s="37"/>
      <c r="I9" s="152"/>
      <c r="J9" s="152"/>
      <c r="K9" s="60"/>
      <c r="L9" s="37"/>
      <c r="M9" s="37"/>
      <c r="N9" s="37"/>
      <c r="O9" s="37"/>
      <c r="P9" s="37"/>
      <c r="Q9" s="60"/>
      <c r="R9" s="37"/>
      <c r="S9" s="37"/>
      <c r="T9" s="37"/>
      <c r="U9" s="37"/>
      <c r="V9" s="37"/>
      <c r="W9" s="37"/>
      <c r="X9" s="37"/>
      <c r="Y9" s="37"/>
      <c r="Z9" s="37"/>
      <c r="AA9" s="37"/>
      <c r="AB9" s="124"/>
      <c r="AC9" s="37"/>
      <c r="AD9" s="37"/>
      <c r="AE9" s="37"/>
      <c r="AF9" s="37"/>
      <c r="AG9" s="124"/>
      <c r="AH9" s="37"/>
      <c r="AI9" s="37"/>
      <c r="AJ9" s="37"/>
      <c r="AK9" s="37"/>
      <c r="AL9" s="124"/>
    </row>
    <row r="10" spans="1:56" ht="14.45" customHeight="1" x14ac:dyDescent="0.25">
      <c r="B10" s="465" t="s">
        <v>68</v>
      </c>
      <c r="C10" s="126" t="str">
        <f>TEXT(C334,"$0")&amp;" to "&amp;TEXT(C333,"$0")</f>
        <v>$75 to $103</v>
      </c>
      <c r="D10" s="182"/>
      <c r="E10" s="317"/>
      <c r="F10" s="153"/>
      <c r="G10" s="153"/>
      <c r="H10" s="49"/>
      <c r="I10" s="153"/>
      <c r="J10" s="153"/>
      <c r="K10" s="49"/>
      <c r="L10" s="153"/>
      <c r="M10" s="60"/>
      <c r="N10" s="60"/>
      <c r="O10" s="60"/>
      <c r="P10" s="60"/>
      <c r="Q10" s="153"/>
      <c r="R10" s="316"/>
      <c r="S10" s="60"/>
      <c r="T10" s="60"/>
      <c r="U10" s="60"/>
      <c r="V10" s="153"/>
      <c r="W10" s="60"/>
      <c r="X10" s="60"/>
      <c r="Y10" s="60"/>
      <c r="Z10" s="60"/>
      <c r="AA10" s="60"/>
      <c r="AB10" s="318"/>
      <c r="AC10" s="60"/>
      <c r="AD10" s="60"/>
      <c r="AE10" s="60"/>
      <c r="AF10" s="60"/>
      <c r="AG10" s="318"/>
      <c r="AH10" s="60"/>
      <c r="AI10" s="60"/>
      <c r="AJ10" s="60"/>
      <c r="AK10" s="60"/>
      <c r="AL10" s="318"/>
    </row>
    <row r="11" spans="1:56" ht="9" customHeight="1" x14ac:dyDescent="0.25">
      <c r="B11" s="292" t="s">
        <v>57</v>
      </c>
      <c r="D11" s="169"/>
      <c r="E11" s="432"/>
      <c r="F11" s="432"/>
      <c r="G11" s="432"/>
      <c r="H11" s="432"/>
      <c r="I11" s="432"/>
      <c r="J11" s="432"/>
      <c r="K11" s="450"/>
      <c r="L11" s="432"/>
      <c r="M11" s="432"/>
      <c r="N11" s="432"/>
      <c r="O11" s="432"/>
      <c r="P11" s="432"/>
      <c r="Q11" s="432"/>
      <c r="R11" s="432"/>
      <c r="S11" s="432"/>
      <c r="T11" s="432"/>
      <c r="U11" s="432"/>
      <c r="V11" s="432"/>
      <c r="W11" s="450"/>
      <c r="X11" s="432"/>
      <c r="Y11" s="432"/>
      <c r="Z11" s="432"/>
      <c r="AA11" s="432"/>
      <c r="AB11" s="432"/>
      <c r="AC11" s="432"/>
      <c r="AD11" s="432"/>
      <c r="AE11" s="432"/>
      <c r="AF11" s="432"/>
      <c r="AG11" s="432"/>
      <c r="AH11" s="432"/>
      <c r="AI11" s="432"/>
      <c r="AJ11" s="432"/>
      <c r="AK11" s="432"/>
      <c r="AL11" s="432"/>
    </row>
    <row r="12" spans="1:56" ht="15.75" x14ac:dyDescent="0.25">
      <c r="A12" s="497"/>
      <c r="B12" s="512" t="s">
        <v>120</v>
      </c>
      <c r="C12" s="513"/>
      <c r="D12" s="34" t="s">
        <v>110</v>
      </c>
      <c r="E12" s="34" t="s">
        <v>282</v>
      </c>
      <c r="F12" s="34" t="s">
        <v>284</v>
      </c>
      <c r="G12" s="34" t="s">
        <v>124</v>
      </c>
      <c r="H12" s="101" t="s">
        <v>124</v>
      </c>
      <c r="I12" s="34" t="s">
        <v>125</v>
      </c>
      <c r="J12" s="34" t="s">
        <v>126</v>
      </c>
      <c r="K12" s="34" t="s">
        <v>127</v>
      </c>
      <c r="L12" s="36" t="s">
        <v>128</v>
      </c>
      <c r="M12" s="104" t="s">
        <v>128</v>
      </c>
      <c r="N12" s="36" t="s">
        <v>129</v>
      </c>
      <c r="O12" s="36" t="s">
        <v>130</v>
      </c>
      <c r="P12" s="36" t="s">
        <v>131</v>
      </c>
      <c r="Q12" s="36" t="s">
        <v>132</v>
      </c>
      <c r="R12" s="104" t="s">
        <v>132</v>
      </c>
      <c r="S12" s="36" t="s">
        <v>133</v>
      </c>
      <c r="T12" s="36" t="s">
        <v>134</v>
      </c>
      <c r="U12" s="36" t="s">
        <v>135</v>
      </c>
      <c r="V12" s="36" t="s">
        <v>136</v>
      </c>
      <c r="W12" s="104" t="s">
        <v>136</v>
      </c>
      <c r="X12" s="36" t="s">
        <v>137</v>
      </c>
      <c r="Y12" s="36" t="s">
        <v>138</v>
      </c>
      <c r="Z12" s="36" t="s">
        <v>139</v>
      </c>
      <c r="AA12" s="36" t="s">
        <v>140</v>
      </c>
      <c r="AB12" s="104" t="s">
        <v>140</v>
      </c>
      <c r="AC12" s="36" t="s">
        <v>286</v>
      </c>
      <c r="AD12" s="36" t="s">
        <v>287</v>
      </c>
      <c r="AE12" s="36" t="s">
        <v>288</v>
      </c>
      <c r="AF12" s="36" t="s">
        <v>289</v>
      </c>
      <c r="AG12" s="104" t="s">
        <v>289</v>
      </c>
      <c r="AH12" s="36" t="s">
        <v>319</v>
      </c>
      <c r="AI12" s="36" t="s">
        <v>320</v>
      </c>
      <c r="AJ12" s="36" t="s">
        <v>321</v>
      </c>
      <c r="AK12" s="36" t="s">
        <v>322</v>
      </c>
      <c r="AL12" s="104" t="s">
        <v>322</v>
      </c>
    </row>
    <row r="13" spans="1:56" ht="17.45" customHeight="1" x14ac:dyDescent="0.4">
      <c r="A13" s="497"/>
      <c r="B13" s="506" t="s">
        <v>3</v>
      </c>
      <c r="C13" s="507"/>
      <c r="D13" s="35" t="s">
        <v>123</v>
      </c>
      <c r="E13" s="35" t="s">
        <v>281</v>
      </c>
      <c r="F13" s="35" t="s">
        <v>285</v>
      </c>
      <c r="G13" s="35" t="s">
        <v>295</v>
      </c>
      <c r="H13" s="102" t="s">
        <v>296</v>
      </c>
      <c r="I13" s="35" t="s">
        <v>297</v>
      </c>
      <c r="J13" s="35" t="s">
        <v>298</v>
      </c>
      <c r="K13" s="35" t="s">
        <v>299</v>
      </c>
      <c r="L13" s="33" t="s">
        <v>141</v>
      </c>
      <c r="M13" s="105" t="s">
        <v>142</v>
      </c>
      <c r="N13" s="33" t="s">
        <v>143</v>
      </c>
      <c r="O13" s="33" t="s">
        <v>144</v>
      </c>
      <c r="P13" s="33" t="s">
        <v>145</v>
      </c>
      <c r="Q13" s="33" t="s">
        <v>146</v>
      </c>
      <c r="R13" s="105" t="s">
        <v>147</v>
      </c>
      <c r="S13" s="33" t="s">
        <v>148</v>
      </c>
      <c r="T13" s="33" t="s">
        <v>149</v>
      </c>
      <c r="U13" s="33" t="s">
        <v>150</v>
      </c>
      <c r="V13" s="33" t="s">
        <v>151</v>
      </c>
      <c r="W13" s="105" t="s">
        <v>152</v>
      </c>
      <c r="X13" s="33" t="s">
        <v>153</v>
      </c>
      <c r="Y13" s="33" t="s">
        <v>154</v>
      </c>
      <c r="Z13" s="33" t="s">
        <v>155</v>
      </c>
      <c r="AA13" s="33" t="s">
        <v>156</v>
      </c>
      <c r="AB13" s="105" t="s">
        <v>157</v>
      </c>
      <c r="AC13" s="33" t="s">
        <v>290</v>
      </c>
      <c r="AD13" s="33" t="s">
        <v>291</v>
      </c>
      <c r="AE13" s="33" t="s">
        <v>292</v>
      </c>
      <c r="AF13" s="33" t="s">
        <v>293</v>
      </c>
      <c r="AG13" s="105" t="s">
        <v>294</v>
      </c>
      <c r="AH13" s="33" t="s">
        <v>323</v>
      </c>
      <c r="AI13" s="33" t="s">
        <v>324</v>
      </c>
      <c r="AJ13" s="33" t="s">
        <v>325</v>
      </c>
      <c r="AK13" s="33" t="s">
        <v>326</v>
      </c>
      <c r="AL13" s="105" t="s">
        <v>327</v>
      </c>
    </row>
    <row r="14" spans="1:56" outlineLevel="1" x14ac:dyDescent="0.25">
      <c r="A14" s="293"/>
      <c r="B14" s="545" t="s">
        <v>301</v>
      </c>
      <c r="C14" s="546"/>
      <c r="D14" s="300">
        <v>5370.3</v>
      </c>
      <c r="E14" s="300">
        <v>5159</v>
      </c>
      <c r="F14" s="300">
        <v>5535</v>
      </c>
      <c r="G14" s="300">
        <f>H14-F14-E14-D14</f>
        <v>5480.1000000000013</v>
      </c>
      <c r="H14" s="313">
        <v>21544.400000000001</v>
      </c>
      <c r="I14" s="300">
        <v>5780.7</v>
      </c>
      <c r="J14" s="300">
        <v>4766</v>
      </c>
      <c r="K14" s="300">
        <v>3444.4</v>
      </c>
      <c r="L14" s="300">
        <f>+L57+L90</f>
        <v>4907.9344999999994</v>
      </c>
      <c r="M14" s="188">
        <f>SUM(I14:L14)</f>
        <v>18899.034500000002</v>
      </c>
      <c r="N14" s="187">
        <f t="shared" ref="N14:Q14" si="2">+N57+N90</f>
        <v>5597.6502250843532</v>
      </c>
      <c r="O14" s="187">
        <f t="shared" si="2"/>
        <v>5420.0157207608845</v>
      </c>
      <c r="P14" s="187">
        <f t="shared" si="2"/>
        <v>5588.8870829859079</v>
      </c>
      <c r="Q14" s="187">
        <f t="shared" si="2"/>
        <v>5907.7954347033728</v>
      </c>
      <c r="R14" s="188">
        <f>SUM(N14:Q14)</f>
        <v>22514.348463534519</v>
      </c>
      <c r="S14" s="187">
        <f t="shared" ref="S14:V14" si="3">+S57+S90</f>
        <v>6408.4800591331623</v>
      </c>
      <c r="T14" s="187">
        <f t="shared" si="3"/>
        <v>5762.4288687774551</v>
      </c>
      <c r="U14" s="187">
        <f t="shared" si="3"/>
        <v>5934.6152058733278</v>
      </c>
      <c r="V14" s="187">
        <f t="shared" si="3"/>
        <v>6264.3618464943265</v>
      </c>
      <c r="W14" s="188">
        <f>SUM(S14:V14)</f>
        <v>24369.885980278275</v>
      </c>
      <c r="X14" s="187">
        <f t="shared" ref="X14:AA14" si="4">+X57+X90</f>
        <v>6832.2921941825207</v>
      </c>
      <c r="Y14" s="187">
        <f t="shared" si="4"/>
        <v>6136.9476900219852</v>
      </c>
      <c r="Z14" s="187">
        <f t="shared" si="4"/>
        <v>6328.5147224961011</v>
      </c>
      <c r="AA14" s="187">
        <f t="shared" si="4"/>
        <v>6687.5982853834994</v>
      </c>
      <c r="AB14" s="188">
        <f>SUM(X14:AA14)</f>
        <v>25985.352892084105</v>
      </c>
      <c r="AC14" s="187">
        <f t="shared" ref="AC14:AF14" si="5">+AC57+AC90</f>
        <v>7260.2380431658476</v>
      </c>
      <c r="AD14" s="187">
        <f t="shared" si="5"/>
        <v>6515.2915836438333</v>
      </c>
      <c r="AE14" s="187">
        <f t="shared" si="5"/>
        <v>6727.1624593396737</v>
      </c>
      <c r="AF14" s="187">
        <f t="shared" si="5"/>
        <v>7113.116070874461</v>
      </c>
      <c r="AG14" s="188">
        <f>SUM(AC14:AF14)</f>
        <v>27615.808157023817</v>
      </c>
      <c r="AH14" s="187">
        <f t="shared" ref="AH14:AK14" si="6">+AH57+AH90</f>
        <v>7733.7509127035746</v>
      </c>
      <c r="AI14" s="187">
        <f t="shared" si="6"/>
        <v>6934.0089135637791</v>
      </c>
      <c r="AJ14" s="187">
        <f t="shared" si="6"/>
        <v>7170.0861268179478</v>
      </c>
      <c r="AK14" s="187">
        <f t="shared" si="6"/>
        <v>7586.8588766333578</v>
      </c>
      <c r="AL14" s="188">
        <f>SUM(AH14:AK14)</f>
        <v>29424.704829718656</v>
      </c>
    </row>
    <row r="15" spans="1:56" outlineLevel="1" x14ac:dyDescent="0.25">
      <c r="A15" s="293"/>
      <c r="B15" s="545" t="s">
        <v>302</v>
      </c>
      <c r="C15" s="546"/>
      <c r="D15" s="300">
        <v>737.1</v>
      </c>
      <c r="E15" s="300">
        <v>678.2</v>
      </c>
      <c r="F15" s="300">
        <v>725</v>
      </c>
      <c r="G15" s="300">
        <f t="shared" ref="G15:G25" si="7">H15-F15-E15-D15</f>
        <v>734.69999999999993</v>
      </c>
      <c r="H15" s="313">
        <v>2875</v>
      </c>
      <c r="I15" s="300">
        <v>792</v>
      </c>
      <c r="J15" s="300">
        <v>689.8</v>
      </c>
      <c r="K15" s="300">
        <v>300.5</v>
      </c>
      <c r="L15" s="187">
        <f>+L64+L97</f>
        <v>648.22749999999996</v>
      </c>
      <c r="M15" s="188">
        <f t="shared" ref="M15:M16" si="8">SUM(I15:L15)</f>
        <v>2430.5275000000001</v>
      </c>
      <c r="N15" s="187">
        <f t="shared" ref="N15:Q15" si="9">+N64+N97</f>
        <v>793.23237500000005</v>
      </c>
      <c r="O15" s="187">
        <f t="shared" si="9"/>
        <v>765.49012500000003</v>
      </c>
      <c r="P15" s="187">
        <f t="shared" si="9"/>
        <v>821.18408593749996</v>
      </c>
      <c r="Q15" s="187">
        <f t="shared" si="9"/>
        <v>793.44894531249997</v>
      </c>
      <c r="R15" s="188">
        <f t="shared" ref="R15:R16" si="10">SUM(N15:Q15)</f>
        <v>3173.3555312500002</v>
      </c>
      <c r="S15" s="187">
        <f t="shared" ref="S15:V15" si="11">+S64+S97</f>
        <v>841.71794677734374</v>
      </c>
      <c r="T15" s="187">
        <f t="shared" si="11"/>
        <v>789.63991909179686</v>
      </c>
      <c r="U15" s="187">
        <f t="shared" si="11"/>
        <v>838.38354173889161</v>
      </c>
      <c r="V15" s="187">
        <f t="shared" si="11"/>
        <v>831.28135639343259</v>
      </c>
      <c r="W15" s="188">
        <f t="shared" ref="W15:W16" si="12">SUM(S15:V15)</f>
        <v>3301.0227640014646</v>
      </c>
      <c r="X15" s="187">
        <f t="shared" ref="X15:AA15" si="13">+X64+X97</f>
        <v>881.26891043186197</v>
      </c>
      <c r="Y15" s="187">
        <f t="shared" si="13"/>
        <v>827.36267362508011</v>
      </c>
      <c r="Z15" s="187">
        <f t="shared" si="13"/>
        <v>878.85454621818712</v>
      </c>
      <c r="AA15" s="187">
        <f t="shared" si="13"/>
        <v>872.96239719629216</v>
      </c>
      <c r="AB15" s="188">
        <f t="shared" ref="AB15:AB16" si="14">SUM(X15:AA15)</f>
        <v>3460.4485274714216</v>
      </c>
      <c r="AC15" s="187">
        <f t="shared" ref="AC15:AF15" si="15">+AC64+AC97</f>
        <v>953.59845764785314</v>
      </c>
      <c r="AD15" s="187">
        <f t="shared" si="15"/>
        <v>896.99450538536325</v>
      </c>
      <c r="AE15" s="187">
        <f t="shared" si="15"/>
        <v>954.49577100081046</v>
      </c>
      <c r="AF15" s="187">
        <f t="shared" si="15"/>
        <v>950.54964618536337</v>
      </c>
      <c r="AG15" s="188">
        <f t="shared" ref="AG15:AG16" si="16">SUM(AC15:AF15)</f>
        <v>3755.6383802193905</v>
      </c>
      <c r="AH15" s="187">
        <f t="shared" ref="AH15:AK15" si="17">+AH64+AH97</f>
        <v>1038.9508055302458</v>
      </c>
      <c r="AI15" s="187">
        <f t="shared" si="17"/>
        <v>976.88520865463147</v>
      </c>
      <c r="AJ15" s="187">
        <f t="shared" si="17"/>
        <v>1038.982099050851</v>
      </c>
      <c r="AK15" s="187">
        <f t="shared" si="17"/>
        <v>1034.7824404946316</v>
      </c>
      <c r="AL15" s="188">
        <f t="shared" ref="AL15:AL16" si="18">SUM(AH15:AK15)</f>
        <v>4089.6005537303599</v>
      </c>
    </row>
    <row r="16" spans="1:56" ht="17.25" outlineLevel="1" x14ac:dyDescent="0.4">
      <c r="A16" s="293"/>
      <c r="B16" s="545" t="s">
        <v>303</v>
      </c>
      <c r="C16" s="546"/>
      <c r="D16" s="299">
        <v>525.29999999999995</v>
      </c>
      <c r="E16" s="299">
        <v>468.7</v>
      </c>
      <c r="F16" s="299">
        <v>563</v>
      </c>
      <c r="G16" s="299">
        <f t="shared" si="7"/>
        <v>532.19999999999982</v>
      </c>
      <c r="H16" s="324">
        <v>2089.1999999999998</v>
      </c>
      <c r="I16" s="299">
        <v>524.4</v>
      </c>
      <c r="J16" s="299">
        <v>539.9</v>
      </c>
      <c r="K16" s="299">
        <v>477.2</v>
      </c>
      <c r="L16" s="191">
        <f>+L65+L98+L116+L130</f>
        <v>453.44329999999997</v>
      </c>
      <c r="M16" s="192">
        <f t="shared" si="8"/>
        <v>1994.9432999999999</v>
      </c>
      <c r="N16" s="191">
        <f t="shared" ref="N16:Q16" si="19">+N65+N98+N116+N130</f>
        <v>563.67200000000014</v>
      </c>
      <c r="O16" s="191">
        <f t="shared" si="19"/>
        <v>582.33699999999999</v>
      </c>
      <c r="P16" s="191">
        <f t="shared" si="19"/>
        <v>535.47299999999996</v>
      </c>
      <c r="Q16" s="191">
        <f t="shared" si="19"/>
        <v>511.56419600000004</v>
      </c>
      <c r="R16" s="192">
        <f t="shared" si="10"/>
        <v>2193.0461960000002</v>
      </c>
      <c r="S16" s="191">
        <f t="shared" ref="S16:V16" si="20">+S65+S98+S116+S130</f>
        <v>608.69004000000018</v>
      </c>
      <c r="T16" s="191">
        <f t="shared" si="20"/>
        <v>628.39008999999999</v>
      </c>
      <c r="U16" s="191">
        <f t="shared" si="20"/>
        <v>576.44521000000009</v>
      </c>
      <c r="V16" s="191">
        <f t="shared" si="20"/>
        <v>550.34440972000004</v>
      </c>
      <c r="W16" s="192">
        <f t="shared" si="12"/>
        <v>2363.8697497200005</v>
      </c>
      <c r="X16" s="191">
        <f t="shared" ref="X16:AA16" si="21">+X65+X98+X116+X130</f>
        <v>655.20914280000022</v>
      </c>
      <c r="Y16" s="191">
        <f t="shared" si="21"/>
        <v>675.99832130000004</v>
      </c>
      <c r="Z16" s="191">
        <f t="shared" si="21"/>
        <v>621.13792220000005</v>
      </c>
      <c r="AA16" s="191">
        <f t="shared" si="21"/>
        <v>592.68662290040015</v>
      </c>
      <c r="AB16" s="192">
        <f t="shared" si="14"/>
        <v>2545.0320092004004</v>
      </c>
      <c r="AC16" s="191">
        <f t="shared" ref="AC16:AF16" si="22">+AC65+AC98+AC116+AC130</f>
        <v>705.85052529600046</v>
      </c>
      <c r="AD16" s="191">
        <f t="shared" si="22"/>
        <v>727.76899629100024</v>
      </c>
      <c r="AE16" s="191">
        <f t="shared" si="22"/>
        <v>669.93074775400009</v>
      </c>
      <c r="AF16" s="191">
        <f t="shared" si="22"/>
        <v>638.86186707842819</v>
      </c>
      <c r="AG16" s="192">
        <f t="shared" si="16"/>
        <v>2742.4121364194289</v>
      </c>
      <c r="AH16" s="191">
        <f t="shared" ref="AH16:AK16" si="23">+AH65+AH98+AH116+AH130</f>
        <v>761.10805694172041</v>
      </c>
      <c r="AI16" s="191">
        <f t="shared" si="23"/>
        <v>784.1934165313703</v>
      </c>
      <c r="AJ16" s="191">
        <f t="shared" si="23"/>
        <v>723.34222413428017</v>
      </c>
      <c r="AK16" s="191">
        <f t="shared" si="23"/>
        <v>689.34717843766805</v>
      </c>
      <c r="AL16" s="192">
        <f t="shared" si="18"/>
        <v>2957.9908760450389</v>
      </c>
    </row>
    <row r="17" spans="1:38" s="20" customFormat="1" x14ac:dyDescent="0.25">
      <c r="A17" s="308"/>
      <c r="B17" s="541" t="s">
        <v>304</v>
      </c>
      <c r="C17" s="542"/>
      <c r="D17" s="298">
        <f t="shared" ref="D17:AB17" si="24">SUM(D14:D16)</f>
        <v>6632.7000000000007</v>
      </c>
      <c r="E17" s="298">
        <f t="shared" si="24"/>
        <v>6305.9</v>
      </c>
      <c r="F17" s="298">
        <f t="shared" si="24"/>
        <v>6823</v>
      </c>
      <c r="G17" s="298">
        <f t="shared" si="24"/>
        <v>6747.0000000000009</v>
      </c>
      <c r="H17" s="314">
        <f t="shared" si="24"/>
        <v>26508.600000000002</v>
      </c>
      <c r="I17" s="298">
        <f>SUM(I14:I16)</f>
        <v>7097.0999999999995</v>
      </c>
      <c r="J17" s="298">
        <f>SUM(J14:J16)</f>
        <v>5995.7</v>
      </c>
      <c r="K17" s="298">
        <f>SUM(K14:K16)</f>
        <v>4222.1000000000004</v>
      </c>
      <c r="L17" s="298">
        <f t="shared" si="24"/>
        <v>6009.6052999999993</v>
      </c>
      <c r="M17" s="314">
        <f t="shared" si="24"/>
        <v>23324.505300000001</v>
      </c>
      <c r="N17" s="298">
        <f t="shared" si="24"/>
        <v>6954.5546000843533</v>
      </c>
      <c r="O17" s="298">
        <f t="shared" si="24"/>
        <v>6767.8428457608843</v>
      </c>
      <c r="P17" s="298">
        <f t="shared" si="24"/>
        <v>6945.5441689234076</v>
      </c>
      <c r="Q17" s="298">
        <f t="shared" si="24"/>
        <v>7212.8085760158729</v>
      </c>
      <c r="R17" s="314">
        <f t="shared" si="24"/>
        <v>27880.750190784518</v>
      </c>
      <c r="S17" s="298">
        <f t="shared" si="24"/>
        <v>7858.8880459105067</v>
      </c>
      <c r="T17" s="298">
        <f t="shared" si="24"/>
        <v>7180.4588778692514</v>
      </c>
      <c r="U17" s="298">
        <f t="shared" si="24"/>
        <v>7349.4439576122195</v>
      </c>
      <c r="V17" s="298">
        <f t="shared" si="24"/>
        <v>7645.9876126077588</v>
      </c>
      <c r="W17" s="314">
        <f t="shared" si="24"/>
        <v>30034.77849399974</v>
      </c>
      <c r="X17" s="189">
        <f t="shared" si="24"/>
        <v>8368.7702474143825</v>
      </c>
      <c r="Y17" s="189">
        <f t="shared" si="24"/>
        <v>7640.3086849470656</v>
      </c>
      <c r="Z17" s="189">
        <f t="shared" si="24"/>
        <v>7828.507190914288</v>
      </c>
      <c r="AA17" s="189">
        <f t="shared" si="24"/>
        <v>8153.2473054801912</v>
      </c>
      <c r="AB17" s="314">
        <f t="shared" si="24"/>
        <v>31990.833428755926</v>
      </c>
      <c r="AC17" s="189">
        <f t="shared" ref="AC17:AG17" si="25">SUM(AC14:AC16)</f>
        <v>8919.687026109701</v>
      </c>
      <c r="AD17" s="189">
        <f t="shared" si="25"/>
        <v>8140.0550853201967</v>
      </c>
      <c r="AE17" s="189">
        <f t="shared" si="25"/>
        <v>8351.5889780944835</v>
      </c>
      <c r="AF17" s="189">
        <f t="shared" si="25"/>
        <v>8702.5275841382536</v>
      </c>
      <c r="AG17" s="190">
        <f t="shared" si="25"/>
        <v>34113.858673662638</v>
      </c>
      <c r="AH17" s="189">
        <f t="shared" ref="AH17:AL17" si="26">SUM(AH14:AH16)</f>
        <v>9533.8097751755413</v>
      </c>
      <c r="AI17" s="189">
        <f t="shared" si="26"/>
        <v>8695.0875387497799</v>
      </c>
      <c r="AJ17" s="189">
        <f t="shared" si="26"/>
        <v>8932.4104500030789</v>
      </c>
      <c r="AK17" s="189">
        <f t="shared" si="26"/>
        <v>9310.988495565658</v>
      </c>
      <c r="AL17" s="190">
        <f t="shared" si="26"/>
        <v>36472.296259494055</v>
      </c>
    </row>
    <row r="18" spans="1:38" outlineLevel="1" x14ac:dyDescent="0.25">
      <c r="A18" s="293"/>
      <c r="B18" s="547" t="s">
        <v>300</v>
      </c>
      <c r="C18" s="548"/>
      <c r="D18" s="300">
        <v>2175.8000000000002</v>
      </c>
      <c r="E18" s="300">
        <v>2012</v>
      </c>
      <c r="F18" s="300">
        <v>2199.6</v>
      </c>
      <c r="G18" s="300">
        <f t="shared" si="7"/>
        <v>2139.4999999999991</v>
      </c>
      <c r="H18" s="313">
        <v>8526.9</v>
      </c>
      <c r="I18" s="300">
        <v>2236.4</v>
      </c>
      <c r="J18" s="300">
        <v>1997.7</v>
      </c>
      <c r="K18" s="300">
        <v>1484</v>
      </c>
      <c r="L18" s="300">
        <f>+L70+L103+L118+L132</f>
        <v>1640.8155840393606</v>
      </c>
      <c r="M18" s="313">
        <f>SUM(I18:L18)</f>
        <v>7358.9155840393614</v>
      </c>
      <c r="N18" s="300">
        <f>+N70+N103+N118+N132</f>
        <v>1773.5515560329272</v>
      </c>
      <c r="O18" s="300">
        <f t="shared" ref="O18:Q18" si="27">+O70+O103+O118+O132</f>
        <v>1700.1893049053299</v>
      </c>
      <c r="P18" s="300">
        <f t="shared" si="27"/>
        <v>1741.7430712625371</v>
      </c>
      <c r="Q18" s="300">
        <f t="shared" si="27"/>
        <v>1773.444572959788</v>
      </c>
      <c r="R18" s="313">
        <f>SUM(N18:Q18)</f>
        <v>6988.928505160583</v>
      </c>
      <c r="S18" s="300">
        <f>+S70+S103+S118+S132</f>
        <v>1959.4188477000621</v>
      </c>
      <c r="T18" s="300">
        <f t="shared" ref="T18:V18" si="28">+T70+T103+T118+T132</f>
        <v>1804.9065236688064</v>
      </c>
      <c r="U18" s="300">
        <f t="shared" si="28"/>
        <v>1813.2107454858574</v>
      </c>
      <c r="V18" s="300">
        <f t="shared" si="28"/>
        <v>1869.7521004379939</v>
      </c>
      <c r="W18" s="188">
        <f>SUM(S18:V18)</f>
        <v>7447.2882172927202</v>
      </c>
      <c r="X18" s="300">
        <f>+X70+X103+X118+X132</f>
        <v>2065.6911537551091</v>
      </c>
      <c r="Y18" s="300">
        <f t="shared" ref="Y18:AA18" si="29">+Y70+Y103+Y118+Y132</f>
        <v>1908.2072444137523</v>
      </c>
      <c r="Z18" s="300">
        <f t="shared" si="29"/>
        <v>1923.8068730266984</v>
      </c>
      <c r="AA18" s="300">
        <f t="shared" si="29"/>
        <v>1985.3603525063775</v>
      </c>
      <c r="AB18" s="188">
        <f>SUM(X18:AA18)</f>
        <v>7883.0656237019375</v>
      </c>
      <c r="AC18" s="300">
        <f>+AC70+AC103+AC118+AC132</f>
        <v>2186.8989001282202</v>
      </c>
      <c r="AD18" s="300">
        <f t="shared" ref="AD18:AF18" si="30">+AD70+AD103+AD118+AD132</f>
        <v>2018.5384431014625</v>
      </c>
      <c r="AE18" s="300">
        <f t="shared" si="30"/>
        <v>2045.2595293830709</v>
      </c>
      <c r="AF18" s="300">
        <f t="shared" si="30"/>
        <v>2103.4716133542665</v>
      </c>
      <c r="AG18" s="188">
        <f>SUM(AC18:AF18)</f>
        <v>8354.1684859670204</v>
      </c>
      <c r="AH18" s="300">
        <f>+AH70+AH103+AH118+AH132</f>
        <v>2329.5978813630209</v>
      </c>
      <c r="AI18" s="300">
        <f t="shared" ref="AI18:AK18" si="31">+AI70+AI103+AI118+AI132</f>
        <v>2148.6149816801326</v>
      </c>
      <c r="AJ18" s="300">
        <f t="shared" si="31"/>
        <v>2180.0408972405903</v>
      </c>
      <c r="AK18" s="300">
        <f t="shared" si="31"/>
        <v>2251.8031909678248</v>
      </c>
      <c r="AL18" s="188">
        <f>SUM(AH18:AK18)</f>
        <v>8910.0569512515685</v>
      </c>
    </row>
    <row r="19" spans="1:38" outlineLevel="1" x14ac:dyDescent="0.25">
      <c r="A19" s="293"/>
      <c r="B19" s="383" t="s">
        <v>158</v>
      </c>
      <c r="C19" s="384"/>
      <c r="D19" s="300">
        <v>2586.8000000000002</v>
      </c>
      <c r="E19" s="300">
        <v>2554.1</v>
      </c>
      <c r="F19" s="300">
        <v>2643.2</v>
      </c>
      <c r="G19" s="300">
        <f t="shared" si="7"/>
        <v>2709.5000000000009</v>
      </c>
      <c r="H19" s="313">
        <v>10493.6</v>
      </c>
      <c r="I19" s="300">
        <v>2821.5</v>
      </c>
      <c r="J19" s="300">
        <v>2721.4</v>
      </c>
      <c r="K19" s="300">
        <v>2537.8000000000002</v>
      </c>
      <c r="L19" s="187">
        <f>+L71+L104</f>
        <v>2918.8475309346036</v>
      </c>
      <c r="M19" s="188">
        <f t="shared" ref="M19:M22" si="32">SUM(I19:L19)</f>
        <v>10999.547530934604</v>
      </c>
      <c r="N19" s="187">
        <f>+N71+N104</f>
        <v>3142.7738344684567</v>
      </c>
      <c r="O19" s="187">
        <f t="shared" ref="O19:Q19" si="33">+O71+O104</f>
        <v>3038.991324871216</v>
      </c>
      <c r="P19" s="187">
        <f t="shared" si="33"/>
        <v>3148.4865997703023</v>
      </c>
      <c r="Q19" s="187">
        <f t="shared" si="33"/>
        <v>3244.3346562311176</v>
      </c>
      <c r="R19" s="188">
        <f t="shared" ref="R19:R22" si="34">SUM(N19:Q19)</f>
        <v>12574.586415341093</v>
      </c>
      <c r="S19" s="187">
        <f>+S71+S104</f>
        <v>3513.9855144410194</v>
      </c>
      <c r="T19" s="187">
        <f t="shared" ref="T19:V19" si="35">+T71+T104</f>
        <v>3209.6132770117415</v>
      </c>
      <c r="U19" s="187">
        <f t="shared" si="35"/>
        <v>3266.0889317294823</v>
      </c>
      <c r="V19" s="187">
        <f t="shared" si="35"/>
        <v>3407.4907430062981</v>
      </c>
      <c r="W19" s="188">
        <f t="shared" ref="W19:W22" si="36">SUM(S19:V19)</f>
        <v>13397.178466188541</v>
      </c>
      <c r="X19" s="187">
        <f>+X71+X104</f>
        <v>3698.3841192807704</v>
      </c>
      <c r="Y19" s="187">
        <f t="shared" ref="Y19:AA19" si="37">+Y71+Y104</f>
        <v>3386.357468382404</v>
      </c>
      <c r="Z19" s="187">
        <f t="shared" si="37"/>
        <v>3458.3730228987206</v>
      </c>
      <c r="AA19" s="187">
        <f t="shared" si="37"/>
        <v>3613.2278237393148</v>
      </c>
      <c r="AB19" s="188">
        <f t="shared" ref="AB19:AB22" si="38">SUM(X19:AA19)</f>
        <v>14156.34243430121</v>
      </c>
      <c r="AC19" s="187">
        <f>+AC71+AC104</f>
        <v>3895.855217467998</v>
      </c>
      <c r="AD19" s="187">
        <f t="shared" ref="AD19:AF19" si="39">+AD71+AD104</f>
        <v>3564.9226893912601</v>
      </c>
      <c r="AE19" s="187">
        <f t="shared" si="39"/>
        <v>3666.6026225055184</v>
      </c>
      <c r="AF19" s="187">
        <f t="shared" si="39"/>
        <v>3812.3420487527264</v>
      </c>
      <c r="AG19" s="188">
        <f t="shared" ref="AG19:AG23" si="40">SUM(AC19:AF19)</f>
        <v>14939.722578117504</v>
      </c>
      <c r="AH19" s="187">
        <f>+AH71+AH104</f>
        <v>4138.7534769029689</v>
      </c>
      <c r="AI19" s="187">
        <f t="shared" ref="AI19:AK19" si="41">+AI71+AI104</f>
        <v>3784.3442148330269</v>
      </c>
      <c r="AJ19" s="187">
        <f t="shared" si="41"/>
        <v>3897.4145552657205</v>
      </c>
      <c r="AK19" s="187">
        <f t="shared" si="41"/>
        <v>4075.6299284265488</v>
      </c>
      <c r="AL19" s="188">
        <f t="shared" ref="AL19:AL23" si="42">SUM(AH19:AK19)</f>
        <v>15896.142175428264</v>
      </c>
    </row>
    <row r="20" spans="1:38" outlineLevel="1" x14ac:dyDescent="0.25">
      <c r="A20" s="293"/>
      <c r="B20" s="383" t="s">
        <v>159</v>
      </c>
      <c r="C20" s="384"/>
      <c r="D20" s="300">
        <v>97.6</v>
      </c>
      <c r="E20" s="300">
        <v>87.1</v>
      </c>
      <c r="F20" s="300">
        <v>94.4</v>
      </c>
      <c r="G20" s="300">
        <f t="shared" si="7"/>
        <v>91.900000000000034</v>
      </c>
      <c r="H20" s="313">
        <v>371</v>
      </c>
      <c r="I20" s="300">
        <v>101.8</v>
      </c>
      <c r="J20" s="300">
        <v>95</v>
      </c>
      <c r="K20" s="300">
        <v>133.6</v>
      </c>
      <c r="L20" s="187">
        <f>+L72+L105+L119+L133</f>
        <v>141.64623820231196</v>
      </c>
      <c r="M20" s="188">
        <f t="shared" si="32"/>
        <v>472.04623820231194</v>
      </c>
      <c r="N20" s="187">
        <f>+N72+N105+N119+N133</f>
        <v>156.28094491562604</v>
      </c>
      <c r="O20" s="187">
        <f t="shared" ref="O20:Q20" si="43">+O72+O105+O119+O133</f>
        <v>148.01185647980043</v>
      </c>
      <c r="P20" s="187">
        <f t="shared" si="43"/>
        <v>150.64775915297622</v>
      </c>
      <c r="Q20" s="187">
        <f t="shared" si="43"/>
        <v>151.83699283496759</v>
      </c>
      <c r="R20" s="188">
        <f t="shared" si="34"/>
        <v>606.77755338337033</v>
      </c>
      <c r="S20" s="187">
        <f>+S72+S105+S119+S133</f>
        <v>170.84853018032689</v>
      </c>
      <c r="T20" s="187">
        <f t="shared" ref="T20:V20" si="44">+T72+T105+T119+T133</f>
        <v>157.74413594005176</v>
      </c>
      <c r="U20" s="187">
        <f t="shared" si="44"/>
        <v>157.26339058406978</v>
      </c>
      <c r="V20" s="187">
        <f t="shared" si="44"/>
        <v>160.60541666054962</v>
      </c>
      <c r="W20" s="188">
        <f t="shared" si="36"/>
        <v>646.46147336499803</v>
      </c>
      <c r="X20" s="187">
        <f>+X72+X105+X119+X133</f>
        <v>180.2892185401121</v>
      </c>
      <c r="Y20" s="187">
        <f t="shared" ref="Y20:AA20" si="45">+Y72+Y105+Y119+Y133</f>
        <v>166.96577152239615</v>
      </c>
      <c r="Z20" s="187">
        <f t="shared" si="45"/>
        <v>167.12563353404749</v>
      </c>
      <c r="AA20" s="187">
        <f t="shared" si="45"/>
        <v>170.69356932252026</v>
      </c>
      <c r="AB20" s="188">
        <f t="shared" si="38"/>
        <v>685.07419291907604</v>
      </c>
      <c r="AC20" s="187">
        <f>+AC72+AC105+AC119+AC133</f>
        <v>191.77196893322866</v>
      </c>
      <c r="AD20" s="187">
        <f t="shared" ref="AD20:AF20" si="46">+AD72+AD105+AD119+AD133</f>
        <v>177.38131586534649</v>
      </c>
      <c r="AE20" s="187">
        <f t="shared" si="46"/>
        <v>178.1198163980637</v>
      </c>
      <c r="AF20" s="187">
        <f t="shared" si="46"/>
        <v>181.56886108689039</v>
      </c>
      <c r="AG20" s="188">
        <f t="shared" si="40"/>
        <v>728.84196228352926</v>
      </c>
      <c r="AH20" s="187">
        <f>+AH72+AH105+AH119+AH133</f>
        <v>204.80402167873936</v>
      </c>
      <c r="AI20" s="187">
        <f t="shared" ref="AI20:AK20" si="47">+AI72+AI105+AI119+AI133</f>
        <v>189.26502271321175</v>
      </c>
      <c r="AJ20" s="187">
        <f t="shared" si="47"/>
        <v>190.35902489571595</v>
      </c>
      <c r="AK20" s="187">
        <f t="shared" si="47"/>
        <v>194.63361703071394</v>
      </c>
      <c r="AL20" s="188">
        <f t="shared" si="42"/>
        <v>779.06168631838102</v>
      </c>
    </row>
    <row r="21" spans="1:38" outlineLevel="1" x14ac:dyDescent="0.25">
      <c r="A21" s="293"/>
      <c r="B21" s="383" t="s">
        <v>160</v>
      </c>
      <c r="C21" s="384"/>
      <c r="D21" s="300">
        <v>333.4</v>
      </c>
      <c r="E21" s="300">
        <v>356.2</v>
      </c>
      <c r="F21" s="300">
        <v>343.1</v>
      </c>
      <c r="G21" s="300">
        <f t="shared" si="7"/>
        <v>344.5999999999998</v>
      </c>
      <c r="H21" s="313">
        <v>1377.3</v>
      </c>
      <c r="I21" s="300">
        <v>351</v>
      </c>
      <c r="J21" s="300">
        <v>356.3</v>
      </c>
      <c r="K21" s="300">
        <v>361</v>
      </c>
      <c r="L21" s="187">
        <f>+L73+L106+L120+L134</f>
        <v>368.49523072332948</v>
      </c>
      <c r="M21" s="188">
        <f t="shared" ref="M21" si="48">SUM(I21:L21)</f>
        <v>1436.7952307233295</v>
      </c>
      <c r="N21" s="187">
        <f>+N73+N106+N120+N134</f>
        <v>369.0284478908938</v>
      </c>
      <c r="O21" s="187">
        <f t="shared" ref="O21:Q21" si="49">+O73+O106+O120+O134</f>
        <v>374.25854884663619</v>
      </c>
      <c r="P21" s="187">
        <f t="shared" si="49"/>
        <v>377.12360993678374</v>
      </c>
      <c r="Q21" s="187">
        <f t="shared" si="49"/>
        <v>380.09285423508533</v>
      </c>
      <c r="R21" s="188">
        <f t="shared" ref="R21" si="50">SUM(N21:Q21)</f>
        <v>1500.5034609093991</v>
      </c>
      <c r="S21" s="187">
        <f>+S73+S106+S120+S134</f>
        <v>384.5065282378348</v>
      </c>
      <c r="T21" s="187">
        <f t="shared" ref="T21:V21" si="51">+T73+T106+T120+T134</f>
        <v>389.87099696487712</v>
      </c>
      <c r="U21" s="187">
        <f t="shared" si="51"/>
        <v>392.13616260840581</v>
      </c>
      <c r="V21" s="187">
        <f t="shared" si="51"/>
        <v>394.8971063036164</v>
      </c>
      <c r="W21" s="188">
        <f t="shared" ref="W21" si="52">SUM(S21:V21)</f>
        <v>1561.410794114734</v>
      </c>
      <c r="X21" s="187">
        <f>+X73+X106+X120+X134</f>
        <v>398.74986025975869</v>
      </c>
      <c r="Y21" s="187">
        <f t="shared" ref="Y21:AA21" si="53">+Y73+Y106+Y120+Y134</f>
        <v>399.92979671174044</v>
      </c>
      <c r="Z21" s="187">
        <f t="shared" si="53"/>
        <v>398.83981293726663</v>
      </c>
      <c r="AA21" s="187">
        <f t="shared" si="53"/>
        <v>398.39572907350589</v>
      </c>
      <c r="AB21" s="188">
        <f t="shared" ref="AB21" si="54">SUM(X21:AA21)</f>
        <v>1595.9151989822715</v>
      </c>
      <c r="AC21" s="187">
        <f>+AC73+AC106+AC120+AC134</f>
        <v>398.95940814324547</v>
      </c>
      <c r="AD21" s="187">
        <f t="shared" ref="AD21:AF21" si="55">+AD73+AD106+AD120+AD134</f>
        <v>401.72520321336629</v>
      </c>
      <c r="AE21" s="187">
        <f t="shared" si="55"/>
        <v>402.02909895288451</v>
      </c>
      <c r="AF21" s="187">
        <f t="shared" si="55"/>
        <v>402.94478534155786</v>
      </c>
      <c r="AG21" s="188">
        <f t="shared" si="40"/>
        <v>1605.6584956510542</v>
      </c>
      <c r="AH21" s="187">
        <f>+AH73+AH106+AH120+AH134</f>
        <v>404.8411690473369</v>
      </c>
      <c r="AI21" s="187">
        <f t="shared" ref="AI21:AK21" si="56">+AI73+AI106+AI120+AI134</f>
        <v>409.06747634243629</v>
      </c>
      <c r="AJ21" s="187">
        <f t="shared" si="56"/>
        <v>410.57779389691837</v>
      </c>
      <c r="AK21" s="187">
        <f t="shared" si="56"/>
        <v>412.69884055506515</v>
      </c>
      <c r="AL21" s="188">
        <f t="shared" si="42"/>
        <v>1637.1852798417567</v>
      </c>
    </row>
    <row r="22" spans="1:38" ht="17.25" customHeight="1" outlineLevel="1" x14ac:dyDescent="0.25">
      <c r="A22" s="293"/>
      <c r="B22" s="383" t="s">
        <v>283</v>
      </c>
      <c r="C22" s="384"/>
      <c r="D22" s="300">
        <v>448</v>
      </c>
      <c r="E22" s="300">
        <v>458.1</v>
      </c>
      <c r="F22" s="300">
        <v>459.7</v>
      </c>
      <c r="G22" s="300">
        <f t="shared" si="7"/>
        <v>458.29999999999984</v>
      </c>
      <c r="H22" s="313">
        <v>1824.1</v>
      </c>
      <c r="I22" s="300">
        <v>434.2</v>
      </c>
      <c r="J22" s="300">
        <v>406.5</v>
      </c>
      <c r="K22" s="300">
        <v>399.9</v>
      </c>
      <c r="L22" s="187">
        <f>+L74+L107+L121+L135</f>
        <v>413.14935152128169</v>
      </c>
      <c r="M22" s="313">
        <f t="shared" si="32"/>
        <v>1653.7493515212816</v>
      </c>
      <c r="N22" s="187">
        <f>+N74+N107+N121+N135</f>
        <v>422.41431539812976</v>
      </c>
      <c r="O22" s="187">
        <f t="shared" ref="O22:Q22" si="57">+O74+O107+O121+O135</f>
        <v>392.86837470710566</v>
      </c>
      <c r="P22" s="187">
        <f t="shared" si="57"/>
        <v>399.75514630984753</v>
      </c>
      <c r="Q22" s="187">
        <f t="shared" si="57"/>
        <v>395.67690441645641</v>
      </c>
      <c r="R22" s="313">
        <f t="shared" si="34"/>
        <v>1610.7147408315393</v>
      </c>
      <c r="S22" s="187">
        <f>+S74+S107+S121+S135</f>
        <v>426.85994803111907</v>
      </c>
      <c r="T22" s="187">
        <f t="shared" ref="T22:V22" si="58">+T74+T107+T121+T135</f>
        <v>396.33428769219933</v>
      </c>
      <c r="U22" s="187">
        <f t="shared" si="58"/>
        <v>404.31373324161552</v>
      </c>
      <c r="V22" s="187">
        <f t="shared" si="58"/>
        <v>412.46881217494115</v>
      </c>
      <c r="W22" s="188">
        <f t="shared" si="36"/>
        <v>1639.9767811398749</v>
      </c>
      <c r="X22" s="187">
        <f>+X74+X107+X121+X135</f>
        <v>432.80531451704246</v>
      </c>
      <c r="Y22" s="187">
        <f t="shared" ref="Y22:AA22" si="59">+Y74+Y107+Y121+Y135</f>
        <v>404.14321976579959</v>
      </c>
      <c r="Z22" s="187">
        <f t="shared" si="59"/>
        <v>415.41689362920647</v>
      </c>
      <c r="AA22" s="187">
        <f t="shared" si="59"/>
        <v>424.4831670306703</v>
      </c>
      <c r="AB22" s="188">
        <f t="shared" si="38"/>
        <v>1676.8485949427188</v>
      </c>
      <c r="AC22" s="187">
        <f>+AC74+AC107+AC121+AC135</f>
        <v>444.68670205676779</v>
      </c>
      <c r="AD22" s="187">
        <f t="shared" ref="AD22:AF22" si="60">+AD74+AD107+AD121+AD135</f>
        <v>414.49599791467051</v>
      </c>
      <c r="AE22" s="187">
        <f t="shared" si="60"/>
        <v>427.68189057099505</v>
      </c>
      <c r="AF22" s="187">
        <f t="shared" si="60"/>
        <v>436.72397491427103</v>
      </c>
      <c r="AG22" s="188">
        <f t="shared" si="40"/>
        <v>1723.5885654567041</v>
      </c>
      <c r="AH22" s="187">
        <f>+AH74+AH107+AH121+AH135</f>
        <v>459.22456475977538</v>
      </c>
      <c r="AI22" s="187">
        <f t="shared" ref="AI22:AK22" si="61">+AI74+AI107+AI121+AI135</f>
        <v>426.82443452490605</v>
      </c>
      <c r="AJ22" s="187">
        <f t="shared" si="61"/>
        <v>441.48291683569937</v>
      </c>
      <c r="AK22" s="187">
        <f t="shared" si="61"/>
        <v>452.05878248302389</v>
      </c>
      <c r="AL22" s="188">
        <f t="shared" si="42"/>
        <v>1779.5906986034047</v>
      </c>
    </row>
    <row r="23" spans="1:38" ht="17.25" customHeight="1" outlineLevel="1" x14ac:dyDescent="0.4">
      <c r="A23" s="293"/>
      <c r="B23" s="383" t="s">
        <v>169</v>
      </c>
      <c r="C23" s="384"/>
      <c r="D23" s="299">
        <v>43.2</v>
      </c>
      <c r="E23" s="299">
        <v>43</v>
      </c>
      <c r="F23" s="299">
        <v>37.700000000000003</v>
      </c>
      <c r="G23" s="299">
        <f t="shared" si="7"/>
        <v>11.900000000000006</v>
      </c>
      <c r="H23" s="324">
        <v>135.80000000000001</v>
      </c>
      <c r="I23" s="299">
        <v>6.3</v>
      </c>
      <c r="J23" s="299">
        <v>-0.7</v>
      </c>
      <c r="K23" s="299">
        <v>78.099999999999994</v>
      </c>
      <c r="L23" s="299">
        <f>+L75+L108+L122+L136</f>
        <v>126.05044992428782</v>
      </c>
      <c r="M23" s="192">
        <f t="shared" ref="M23" si="62">SUM(I23:L23)</f>
        <v>209.75044992428781</v>
      </c>
      <c r="N23" s="191">
        <f>+N75+N108+N122+N136</f>
        <v>65.33898020839105</v>
      </c>
      <c r="O23" s="191">
        <f t="shared" ref="O23:Q23" si="63">+O75+O108+O122+O136</f>
        <v>68.280073879085606</v>
      </c>
      <c r="P23" s="191">
        <f t="shared" si="63"/>
        <v>70.476062818766394</v>
      </c>
      <c r="Q23" s="191">
        <f t="shared" si="63"/>
        <v>69.530079437216983</v>
      </c>
      <c r="R23" s="192">
        <f t="shared" ref="R23" si="64">SUM(N23:Q23)</f>
        <v>273.62519634346006</v>
      </c>
      <c r="S23" s="191">
        <f>+S75+S108+S122+S136</f>
        <v>74.340706702769424</v>
      </c>
      <c r="T23" s="191">
        <f t="shared" ref="T23:V23" si="65">+T75+T108+T122+T136</f>
        <v>71.605717630865286</v>
      </c>
      <c r="U23" s="191">
        <f t="shared" si="65"/>
        <v>71.16272239219947</v>
      </c>
      <c r="V23" s="191">
        <f t="shared" si="65"/>
        <v>73.152085569883056</v>
      </c>
      <c r="W23" s="192">
        <f t="shared" ref="W23" si="66">SUM(S23:V23)</f>
        <v>290.26123229571721</v>
      </c>
      <c r="X23" s="191">
        <f>+X75+X108+X122+X136</f>
        <v>78.162197754467343</v>
      </c>
      <c r="Y23" s="191">
        <f t="shared" ref="Y23:AA23" si="67">+Y75+Y108+Y122+Y136</f>
        <v>74.995480681594415</v>
      </c>
      <c r="Z23" s="191">
        <f t="shared" si="67"/>
        <v>74.490507214957262</v>
      </c>
      <c r="AA23" s="191">
        <f t="shared" si="67"/>
        <v>77.142945661309668</v>
      </c>
      <c r="AB23" s="192">
        <f t="shared" ref="AB23" si="68">SUM(X23:AA23)</f>
        <v>304.79113131232867</v>
      </c>
      <c r="AC23" s="191">
        <f>+AC75+AC108+AC122+AC136</f>
        <v>81.427720890074681</v>
      </c>
      <c r="AD23" s="191">
        <f t="shared" ref="AD23:AF23" si="69">+AD75+AD108+AD122+AD136</f>
        <v>78.128252653557098</v>
      </c>
      <c r="AE23" s="191">
        <f t="shared" si="69"/>
        <v>78.160838607021915</v>
      </c>
      <c r="AF23" s="191">
        <f t="shared" si="69"/>
        <v>80.565445468791751</v>
      </c>
      <c r="AG23" s="192">
        <f t="shared" si="40"/>
        <v>318.28225761944543</v>
      </c>
      <c r="AH23" s="191">
        <f>+AH75+AH108+AH122+AH136</f>
        <v>85.601982526094986</v>
      </c>
      <c r="AI23" s="191">
        <f t="shared" ref="AI23:AK23" si="70">+AI75+AI108+AI122+AI136</f>
        <v>82.114855157740422</v>
      </c>
      <c r="AJ23" s="191">
        <f t="shared" si="70"/>
        <v>82.167705161694187</v>
      </c>
      <c r="AK23" s="191">
        <f t="shared" si="70"/>
        <v>85.217449821110577</v>
      </c>
      <c r="AL23" s="192">
        <f t="shared" si="42"/>
        <v>335.10199266664017</v>
      </c>
    </row>
    <row r="24" spans="1:38" s="43" customFormat="1" ht="17.25" customHeight="1" x14ac:dyDescent="0.4">
      <c r="A24" s="385"/>
      <c r="B24" s="386" t="s">
        <v>53</v>
      </c>
      <c r="C24" s="387"/>
      <c r="D24" s="301">
        <f t="shared" ref="D24:AL24" si="71">SUM(D19:D23)+D18</f>
        <v>5684.8</v>
      </c>
      <c r="E24" s="301">
        <f t="shared" si="71"/>
        <v>5510.5</v>
      </c>
      <c r="F24" s="301">
        <f t="shared" si="71"/>
        <v>5777.6999999999989</v>
      </c>
      <c r="G24" s="301">
        <f t="shared" si="71"/>
        <v>5755.7</v>
      </c>
      <c r="H24" s="348">
        <f t="shared" si="71"/>
        <v>22728.699999999997</v>
      </c>
      <c r="I24" s="301">
        <f t="shared" si="71"/>
        <v>5951.2000000000007</v>
      </c>
      <c r="J24" s="301">
        <f t="shared" si="71"/>
        <v>5576.2000000000007</v>
      </c>
      <c r="K24" s="301">
        <f t="shared" si="71"/>
        <v>4994.3999999999996</v>
      </c>
      <c r="L24" s="193">
        <f t="shared" si="71"/>
        <v>5609.0043853451753</v>
      </c>
      <c r="M24" s="194">
        <f t="shared" si="71"/>
        <v>22130.804385345175</v>
      </c>
      <c r="N24" s="193">
        <f t="shared" si="71"/>
        <v>5929.3880789144241</v>
      </c>
      <c r="O24" s="193">
        <f t="shared" si="71"/>
        <v>5722.5994836891732</v>
      </c>
      <c r="P24" s="193">
        <f t="shared" si="71"/>
        <v>5888.232249251213</v>
      </c>
      <c r="Q24" s="193">
        <f t="shared" si="71"/>
        <v>6014.9160601146323</v>
      </c>
      <c r="R24" s="194">
        <f t="shared" si="71"/>
        <v>23555.135871969444</v>
      </c>
      <c r="S24" s="193">
        <f t="shared" si="71"/>
        <v>6529.9600752931328</v>
      </c>
      <c r="T24" s="193">
        <f t="shared" si="71"/>
        <v>6030.0749389085413</v>
      </c>
      <c r="U24" s="193">
        <f t="shared" si="71"/>
        <v>6104.1756860416299</v>
      </c>
      <c r="V24" s="193">
        <f t="shared" si="71"/>
        <v>6318.3662641532819</v>
      </c>
      <c r="W24" s="194">
        <f t="shared" si="71"/>
        <v>24982.576964396587</v>
      </c>
      <c r="X24" s="193">
        <f t="shared" si="71"/>
        <v>6854.0818641072601</v>
      </c>
      <c r="Y24" s="193">
        <f t="shared" si="71"/>
        <v>6340.5989814776867</v>
      </c>
      <c r="Z24" s="193">
        <f t="shared" si="71"/>
        <v>6438.0527432408981</v>
      </c>
      <c r="AA24" s="193">
        <f t="shared" si="71"/>
        <v>6669.3035873336985</v>
      </c>
      <c r="AB24" s="194">
        <f t="shared" si="71"/>
        <v>26302.037176159545</v>
      </c>
      <c r="AC24" s="193">
        <f t="shared" si="71"/>
        <v>7199.5999176195346</v>
      </c>
      <c r="AD24" s="193">
        <f t="shared" si="71"/>
        <v>6655.1919021396634</v>
      </c>
      <c r="AE24" s="193">
        <f t="shared" si="71"/>
        <v>6797.8537964175548</v>
      </c>
      <c r="AF24" s="193">
        <f t="shared" si="71"/>
        <v>7017.616728918505</v>
      </c>
      <c r="AG24" s="194">
        <f t="shared" si="71"/>
        <v>27670.262345095256</v>
      </c>
      <c r="AH24" s="193">
        <f t="shared" si="71"/>
        <v>7622.8230962779362</v>
      </c>
      <c r="AI24" s="193">
        <f t="shared" si="71"/>
        <v>7040.2309852514545</v>
      </c>
      <c r="AJ24" s="193">
        <f t="shared" si="71"/>
        <v>7202.0428932963387</v>
      </c>
      <c r="AK24" s="193">
        <f t="shared" si="71"/>
        <v>7472.0418092842874</v>
      </c>
      <c r="AL24" s="194">
        <f t="shared" si="71"/>
        <v>29337.138784110019</v>
      </c>
    </row>
    <row r="25" spans="1:38" s="46" customFormat="1" ht="17.25" customHeight="1" x14ac:dyDescent="0.4">
      <c r="A25" s="359"/>
      <c r="B25" s="549" t="s">
        <v>162</v>
      </c>
      <c r="C25" s="550"/>
      <c r="D25" s="299">
        <v>67.8</v>
      </c>
      <c r="E25" s="299">
        <v>62.3</v>
      </c>
      <c r="F25" s="299">
        <v>76</v>
      </c>
      <c r="G25" s="299">
        <f t="shared" si="7"/>
        <v>91.899999999999991</v>
      </c>
      <c r="H25" s="324">
        <v>298</v>
      </c>
      <c r="I25" s="299">
        <v>73.900000000000006</v>
      </c>
      <c r="J25" s="299">
        <v>67.900000000000006</v>
      </c>
      <c r="K25" s="299">
        <v>68.400000000000006</v>
      </c>
      <c r="L25" s="191">
        <f>+L110+L124</f>
        <v>75.524999999999991</v>
      </c>
      <c r="M25" s="192">
        <f t="shared" ref="M25" si="72">SUM(I25:L25)</f>
        <v>285.72500000000002</v>
      </c>
      <c r="N25" s="191">
        <f>+N110+N124</f>
        <v>71.431250000000006</v>
      </c>
      <c r="O25" s="191">
        <f>+O110+O124</f>
        <v>70.814062499999991</v>
      </c>
      <c r="P25" s="191">
        <f>+P110+P124</f>
        <v>71.542578124999991</v>
      </c>
      <c r="Q25" s="191">
        <f>+Q110+Q124</f>
        <v>72.328222656249991</v>
      </c>
      <c r="R25" s="192">
        <f t="shared" ref="R25" si="73">SUM(N25:Q25)</f>
        <v>286.11611328124997</v>
      </c>
      <c r="S25" s="191">
        <f>+S110+S124</f>
        <v>71.529028320312491</v>
      </c>
      <c r="T25" s="191">
        <f>+T110+T124</f>
        <v>71.553472900390616</v>
      </c>
      <c r="U25" s="191">
        <f>+U110+U124</f>
        <v>71.738325500488273</v>
      </c>
      <c r="V25" s="191">
        <f>+V110+V124</f>
        <v>71.787262344360343</v>
      </c>
      <c r="W25" s="192">
        <f t="shared" ref="W25" si="74">SUM(S25:V25)</f>
        <v>286.60808906555172</v>
      </c>
      <c r="X25" s="191">
        <f>+X110+X124</f>
        <v>71.652022266387931</v>
      </c>
      <c r="Y25" s="191">
        <f>+Y110+Y124</f>
        <v>71.682770752906791</v>
      </c>
      <c r="Z25" s="191">
        <f>+Z110+Z124</f>
        <v>71.715095216035834</v>
      </c>
      <c r="AA25" s="191">
        <f>+AA110+AA124</f>
        <v>71.709287644922725</v>
      </c>
      <c r="AB25" s="192">
        <f t="shared" ref="AB25" si="75">SUM(X25:AA25)</f>
        <v>286.75917588025328</v>
      </c>
      <c r="AC25" s="191">
        <f>+AC110+AC124</f>
        <v>71.68979397006332</v>
      </c>
      <c r="AD25" s="191">
        <f>+AD110+AD124</f>
        <v>71.699236895982168</v>
      </c>
      <c r="AE25" s="191">
        <f>+AE110+AE124</f>
        <v>71.703353431751012</v>
      </c>
      <c r="AF25" s="191">
        <f>+AF110+AF124</f>
        <v>71.700417985679806</v>
      </c>
      <c r="AG25" s="192">
        <f t="shared" ref="AG25" si="76">SUM(AC25:AF25)</f>
        <v>286.79280228347631</v>
      </c>
      <c r="AH25" s="191">
        <f>+AH110+AH124</f>
        <v>71.698200570869076</v>
      </c>
      <c r="AI25" s="191">
        <f>+AI110+AI124</f>
        <v>71.700302221070515</v>
      </c>
      <c r="AJ25" s="191">
        <f>+AJ110+AJ124</f>
        <v>71.700568552342602</v>
      </c>
      <c r="AK25" s="191">
        <f>+AK110+AK124</f>
        <v>71.6998723324905</v>
      </c>
      <c r="AL25" s="192">
        <f t="shared" ref="AL25" si="77">SUM(AH25:AK25)</f>
        <v>286.79894367677269</v>
      </c>
    </row>
    <row r="26" spans="1:38" x14ac:dyDescent="0.25">
      <c r="A26" s="293"/>
      <c r="B26" s="388" t="s">
        <v>69</v>
      </c>
      <c r="C26" s="389"/>
      <c r="D26" s="298">
        <f t="shared" ref="D26:AL26" si="78">D17-D24+D25</f>
        <v>1015.7000000000005</v>
      </c>
      <c r="E26" s="298">
        <f t="shared" si="78"/>
        <v>857.69999999999959</v>
      </c>
      <c r="F26" s="298">
        <f t="shared" si="78"/>
        <v>1121.3000000000011</v>
      </c>
      <c r="G26" s="298">
        <f t="shared" si="78"/>
        <v>1083.2000000000012</v>
      </c>
      <c r="H26" s="314">
        <f t="shared" si="78"/>
        <v>4077.9000000000051</v>
      </c>
      <c r="I26" s="298">
        <f t="shared" si="78"/>
        <v>1219.7999999999988</v>
      </c>
      <c r="J26" s="298">
        <f t="shared" si="78"/>
        <v>487.39999999999907</v>
      </c>
      <c r="K26" s="298">
        <f t="shared" si="78"/>
        <v>-703.8999999999993</v>
      </c>
      <c r="L26" s="189">
        <f t="shared" si="78"/>
        <v>476.12591465482399</v>
      </c>
      <c r="M26" s="190">
        <f t="shared" si="78"/>
        <v>1479.4259146548261</v>
      </c>
      <c r="N26" s="189">
        <f t="shared" si="78"/>
        <v>1096.5977711699293</v>
      </c>
      <c r="O26" s="189">
        <f t="shared" si="78"/>
        <v>1116.0574245717112</v>
      </c>
      <c r="P26" s="189">
        <f t="shared" si="78"/>
        <v>1128.8544977971947</v>
      </c>
      <c r="Q26" s="189">
        <f t="shared" si="78"/>
        <v>1270.2207385574907</v>
      </c>
      <c r="R26" s="190">
        <f t="shared" si="78"/>
        <v>4611.7304320963249</v>
      </c>
      <c r="S26" s="189">
        <f t="shared" si="78"/>
        <v>1400.4569989376864</v>
      </c>
      <c r="T26" s="189">
        <f t="shared" si="78"/>
        <v>1221.9374118611008</v>
      </c>
      <c r="U26" s="189">
        <f t="shared" si="78"/>
        <v>1317.006597071078</v>
      </c>
      <c r="V26" s="189">
        <f t="shared" si="78"/>
        <v>1399.4086107988373</v>
      </c>
      <c r="W26" s="190">
        <f t="shared" si="78"/>
        <v>5338.8096186687053</v>
      </c>
      <c r="X26" s="189">
        <f t="shared" si="78"/>
        <v>1586.3404055735105</v>
      </c>
      <c r="Y26" s="189">
        <f t="shared" si="78"/>
        <v>1371.3924742222857</v>
      </c>
      <c r="Z26" s="189">
        <f t="shared" si="78"/>
        <v>1462.1695428894259</v>
      </c>
      <c r="AA26" s="189">
        <f t="shared" si="78"/>
        <v>1555.6530057914156</v>
      </c>
      <c r="AB26" s="190">
        <f t="shared" si="78"/>
        <v>5975.5554284766349</v>
      </c>
      <c r="AC26" s="189">
        <f t="shared" si="78"/>
        <v>1791.7769024602298</v>
      </c>
      <c r="AD26" s="189">
        <f t="shared" si="78"/>
        <v>1556.5624200765155</v>
      </c>
      <c r="AE26" s="189">
        <f t="shared" si="78"/>
        <v>1625.4385351086798</v>
      </c>
      <c r="AF26" s="189">
        <f t="shared" si="78"/>
        <v>1756.6112732054285</v>
      </c>
      <c r="AG26" s="190">
        <f t="shared" si="78"/>
        <v>6730.3891308508591</v>
      </c>
      <c r="AH26" s="189">
        <f t="shared" si="78"/>
        <v>1982.6848794684743</v>
      </c>
      <c r="AI26" s="189">
        <f t="shared" si="78"/>
        <v>1726.556855719396</v>
      </c>
      <c r="AJ26" s="189">
        <f t="shared" si="78"/>
        <v>1802.068125259083</v>
      </c>
      <c r="AK26" s="189">
        <f t="shared" si="78"/>
        <v>1910.6465586138611</v>
      </c>
      <c r="AL26" s="190">
        <f t="shared" si="78"/>
        <v>7421.9564190608089</v>
      </c>
    </row>
    <row r="27" spans="1:38" ht="17.25" x14ac:dyDescent="0.4">
      <c r="A27" s="293"/>
      <c r="B27" s="345" t="s">
        <v>214</v>
      </c>
      <c r="C27" s="249"/>
      <c r="D27" s="302">
        <f t="shared" ref="D27:AA27" si="79">+D177</f>
        <v>138</v>
      </c>
      <c r="E27" s="302">
        <f t="shared" si="79"/>
        <v>141.4</v>
      </c>
      <c r="F27" s="302">
        <f t="shared" si="79"/>
        <v>125.30000000000001</v>
      </c>
      <c r="G27" s="302">
        <f t="shared" si="79"/>
        <v>77.399999999999991</v>
      </c>
      <c r="H27" s="393">
        <f>SUM(D27:G27)</f>
        <v>482.09999999999997</v>
      </c>
      <c r="I27" s="302">
        <f t="shared" si="79"/>
        <v>71.599999999999994</v>
      </c>
      <c r="J27" s="302">
        <f t="shared" si="79"/>
        <v>66.8</v>
      </c>
      <c r="K27" s="302">
        <f>+K177</f>
        <v>173.67999999999998</v>
      </c>
      <c r="L27" s="250">
        <f t="shared" si="79"/>
        <v>187.04000000000002</v>
      </c>
      <c r="M27" s="251">
        <f>SUM(I27:L27)</f>
        <v>499.11999999999995</v>
      </c>
      <c r="N27" s="250">
        <f t="shared" si="79"/>
        <v>122.65249999999997</v>
      </c>
      <c r="O27" s="250">
        <f t="shared" si="79"/>
        <v>120.73406249999999</v>
      </c>
      <c r="P27" s="250">
        <f t="shared" si="79"/>
        <v>118.15082031249997</v>
      </c>
      <c r="Q27" s="250">
        <f t="shared" si="79"/>
        <v>19.547885270217037</v>
      </c>
      <c r="R27" s="251">
        <f>SUM(N27:Q27)</f>
        <v>381.08526808271694</v>
      </c>
      <c r="S27" s="250">
        <f t="shared" si="79"/>
        <v>122.2393194580078</v>
      </c>
      <c r="T27" s="250">
        <f t="shared" si="79"/>
        <v>128.56923439025877</v>
      </c>
      <c r="U27" s="250">
        <f t="shared" si="79"/>
        <v>136.29038868904112</v>
      </c>
      <c r="V27" s="250">
        <f t="shared" si="79"/>
        <v>131.61668727517127</v>
      </c>
      <c r="W27" s="251">
        <f>SUM(S27:V27)</f>
        <v>518.71562981247894</v>
      </c>
      <c r="X27" s="250">
        <f t="shared" si="79"/>
        <v>124.68877318456768</v>
      </c>
      <c r="Y27" s="250">
        <f t="shared" si="79"/>
        <v>124.94330733263865</v>
      </c>
      <c r="Z27" s="250">
        <f t="shared" si="79"/>
        <v>125.46946293671846</v>
      </c>
      <c r="AA27" s="250">
        <f t="shared" si="79"/>
        <v>126.38429326474576</v>
      </c>
      <c r="AB27" s="251">
        <f>SUM(X27:AA27)</f>
        <v>501.48583671867061</v>
      </c>
      <c r="AC27" s="250">
        <f t="shared" ref="AC27:AF27" si="80">+AC177</f>
        <v>127.52518331639368</v>
      </c>
      <c r="AD27" s="250">
        <f t="shared" si="80"/>
        <v>128.18591629869192</v>
      </c>
      <c r="AE27" s="250">
        <f t="shared" si="80"/>
        <v>128.13800153724605</v>
      </c>
      <c r="AF27" s="250">
        <f t="shared" si="80"/>
        <v>127.1189531432717</v>
      </c>
      <c r="AG27" s="251">
        <f>SUM(AC27:AF27)</f>
        <v>510.96805429560334</v>
      </c>
      <c r="AH27" s="250">
        <f t="shared" ref="AH27:AK27" si="81">+AH177</f>
        <v>126.55673637678426</v>
      </c>
      <c r="AI27" s="250">
        <f t="shared" si="81"/>
        <v>126.79023177581131</v>
      </c>
      <c r="AJ27" s="250">
        <f t="shared" si="81"/>
        <v>127.0210973312079</v>
      </c>
      <c r="AK27" s="250">
        <f t="shared" si="81"/>
        <v>127.21505163051907</v>
      </c>
      <c r="AL27" s="251">
        <f>SUM(AH27:AK27)</f>
        <v>507.58311711432248</v>
      </c>
    </row>
    <row r="28" spans="1:38" x14ac:dyDescent="0.25">
      <c r="A28" s="293"/>
      <c r="B28" s="346" t="s">
        <v>215</v>
      </c>
      <c r="C28" s="238"/>
      <c r="D28" s="303">
        <f t="shared" ref="D28:AA28" si="82">+D26+D27</f>
        <v>1153.7000000000005</v>
      </c>
      <c r="E28" s="303">
        <f t="shared" si="82"/>
        <v>999.09999999999957</v>
      </c>
      <c r="F28" s="303">
        <f t="shared" si="82"/>
        <v>1246.600000000001</v>
      </c>
      <c r="G28" s="303">
        <f t="shared" si="82"/>
        <v>1160.6000000000013</v>
      </c>
      <c r="H28" s="394">
        <f t="shared" ref="H28" si="83">+H26+H27</f>
        <v>4560.0000000000055</v>
      </c>
      <c r="I28" s="303">
        <f t="shared" si="82"/>
        <v>1291.3999999999987</v>
      </c>
      <c r="J28" s="303">
        <f t="shared" si="82"/>
        <v>554.19999999999902</v>
      </c>
      <c r="K28" s="303">
        <f t="shared" si="82"/>
        <v>-530.21999999999935</v>
      </c>
      <c r="L28" s="239">
        <f t="shared" si="82"/>
        <v>663.16591465482406</v>
      </c>
      <c r="M28" s="240">
        <f t="shared" ref="M28" si="84">+M26+M27</f>
        <v>1978.545914654826</v>
      </c>
      <c r="N28" s="239">
        <f t="shared" si="82"/>
        <v>1219.2502711699292</v>
      </c>
      <c r="O28" s="239">
        <f t="shared" si="82"/>
        <v>1236.7914870717111</v>
      </c>
      <c r="P28" s="239">
        <f t="shared" si="82"/>
        <v>1247.0053181096946</v>
      </c>
      <c r="Q28" s="239">
        <f t="shared" si="82"/>
        <v>1289.7686238277076</v>
      </c>
      <c r="R28" s="240">
        <f t="shared" ref="R28" si="85">+R26+R27</f>
        <v>4992.8157001790414</v>
      </c>
      <c r="S28" s="239">
        <f t="shared" si="82"/>
        <v>1522.6963183956941</v>
      </c>
      <c r="T28" s="239">
        <f t="shared" si="82"/>
        <v>1350.5066462513596</v>
      </c>
      <c r="U28" s="239">
        <f t="shared" si="82"/>
        <v>1453.296985760119</v>
      </c>
      <c r="V28" s="239">
        <f t="shared" si="82"/>
        <v>1531.0252980740086</v>
      </c>
      <c r="W28" s="240">
        <f t="shared" ref="W28" si="86">+W26+W27</f>
        <v>5857.5252484811845</v>
      </c>
      <c r="X28" s="239">
        <f t="shared" si="82"/>
        <v>1711.0291787580782</v>
      </c>
      <c r="Y28" s="239">
        <f t="shared" si="82"/>
        <v>1496.3357815549243</v>
      </c>
      <c r="Z28" s="239">
        <f t="shared" si="82"/>
        <v>1587.6390058261443</v>
      </c>
      <c r="AA28" s="239">
        <f t="shared" si="82"/>
        <v>1682.0372990561614</v>
      </c>
      <c r="AB28" s="240">
        <f t="shared" ref="AB28:AF28" si="87">+AB26+AB27</f>
        <v>6477.0412651953056</v>
      </c>
      <c r="AC28" s="239">
        <f t="shared" si="87"/>
        <v>1919.3020857766235</v>
      </c>
      <c r="AD28" s="239">
        <f t="shared" si="87"/>
        <v>1684.7483363752074</v>
      </c>
      <c r="AE28" s="239">
        <f t="shared" si="87"/>
        <v>1753.5765366459259</v>
      </c>
      <c r="AF28" s="239">
        <f t="shared" si="87"/>
        <v>1883.7302263487002</v>
      </c>
      <c r="AG28" s="240">
        <f t="shared" ref="AG28:AK28" si="88">+AG26+AG27</f>
        <v>7241.3571851464621</v>
      </c>
      <c r="AH28" s="239">
        <f t="shared" si="88"/>
        <v>2109.2416158452584</v>
      </c>
      <c r="AI28" s="239">
        <f t="shared" si="88"/>
        <v>1853.3470874952072</v>
      </c>
      <c r="AJ28" s="239">
        <f t="shared" si="88"/>
        <v>1929.0892225902908</v>
      </c>
      <c r="AK28" s="239">
        <f t="shared" si="88"/>
        <v>2037.8616102443802</v>
      </c>
      <c r="AL28" s="240">
        <f t="shared" ref="AL28" si="89">+AL26+AL27</f>
        <v>7929.5395361751316</v>
      </c>
    </row>
    <row r="29" spans="1:38" x14ac:dyDescent="0.25">
      <c r="A29" s="293"/>
      <c r="B29" s="92" t="s">
        <v>204</v>
      </c>
      <c r="C29" s="39"/>
      <c r="D29" s="300">
        <v>0</v>
      </c>
      <c r="E29" s="300">
        <v>21</v>
      </c>
      <c r="F29" s="300">
        <v>601.79999999999995</v>
      </c>
      <c r="G29" s="300">
        <f t="shared" ref="G29:G31" si="90">H29-F29-E29-D29</f>
        <v>0</v>
      </c>
      <c r="H29" s="313">
        <v>622.79999999999995</v>
      </c>
      <c r="I29" s="300">
        <v>0</v>
      </c>
      <c r="J29" s="300">
        <v>0</v>
      </c>
      <c r="K29" s="300">
        <v>0</v>
      </c>
      <c r="L29" s="300">
        <v>0</v>
      </c>
      <c r="M29" s="313">
        <f>SUM(I29:L29)</f>
        <v>0</v>
      </c>
      <c r="N29" s="300">
        <v>0</v>
      </c>
      <c r="O29" s="300">
        <v>0</v>
      </c>
      <c r="P29" s="300">
        <v>0</v>
      </c>
      <c r="Q29" s="300">
        <v>0</v>
      </c>
      <c r="R29" s="313">
        <f>SUM(N29:Q29)</f>
        <v>0</v>
      </c>
      <c r="S29" s="300">
        <v>0</v>
      </c>
      <c r="T29" s="300">
        <v>0</v>
      </c>
      <c r="U29" s="300">
        <v>0</v>
      </c>
      <c r="V29" s="300">
        <v>0</v>
      </c>
      <c r="W29" s="313">
        <f>SUM(S29:V29)</f>
        <v>0</v>
      </c>
      <c r="X29" s="300">
        <v>0</v>
      </c>
      <c r="Y29" s="300">
        <v>0</v>
      </c>
      <c r="Z29" s="300">
        <v>0</v>
      </c>
      <c r="AA29" s="300">
        <v>0</v>
      </c>
      <c r="AB29" s="313">
        <f>SUM(X29:AA29)</f>
        <v>0</v>
      </c>
      <c r="AC29" s="300">
        <v>0</v>
      </c>
      <c r="AD29" s="300">
        <v>0</v>
      </c>
      <c r="AE29" s="300">
        <v>0</v>
      </c>
      <c r="AF29" s="300">
        <v>0</v>
      </c>
      <c r="AG29" s="313">
        <f>SUM(AC29:AF29)</f>
        <v>0</v>
      </c>
      <c r="AH29" s="300">
        <v>0</v>
      </c>
      <c r="AI29" s="300">
        <v>0</v>
      </c>
      <c r="AJ29" s="300">
        <v>0</v>
      </c>
      <c r="AK29" s="300">
        <v>0</v>
      </c>
      <c r="AL29" s="313">
        <f>SUM(AH29:AK29)</f>
        <v>0</v>
      </c>
    </row>
    <row r="30" spans="1:38" x14ac:dyDescent="0.25">
      <c r="A30" s="293"/>
      <c r="B30" s="92" t="s">
        <v>163</v>
      </c>
      <c r="C30" s="39"/>
      <c r="D30" s="300">
        <v>24.8</v>
      </c>
      <c r="E30" s="300">
        <v>15.2</v>
      </c>
      <c r="F30" s="297">
        <v>40.200000000000003</v>
      </c>
      <c r="G30" s="300">
        <f t="shared" si="90"/>
        <v>16.299999999999994</v>
      </c>
      <c r="H30" s="313">
        <v>96.5</v>
      </c>
      <c r="I30" s="300">
        <v>15.9</v>
      </c>
      <c r="J30" s="300">
        <v>2</v>
      </c>
      <c r="K30" s="300">
        <v>12.7</v>
      </c>
      <c r="L30" s="187">
        <f>(K185+K186+K191)*L152</f>
        <v>9.8318996517576309</v>
      </c>
      <c r="M30" s="188">
        <f t="shared" ref="M30" si="91">SUM(I30:L30)</f>
        <v>40.431899651757632</v>
      </c>
      <c r="N30" s="187">
        <f>(L185+L186+L191)*N152</f>
        <v>8.2442671596400086</v>
      </c>
      <c r="O30" s="187">
        <f>(N185+N186+N191)*O152</f>
        <v>7.2515152391221624</v>
      </c>
      <c r="P30" s="187">
        <f>(O185+O186+O191)*P152</f>
        <v>7.1687082630591865</v>
      </c>
      <c r="Q30" s="187">
        <f>(P185+P186+P191)*Q152</f>
        <v>6.1193350079833744</v>
      </c>
      <c r="R30" s="188">
        <f t="shared" ref="R30" si="92">SUM(N30:Q30)</f>
        <v>28.783825669804731</v>
      </c>
      <c r="S30" s="187">
        <f>(Q185+Q186+Q191)*S152</f>
        <v>5.8521527322171032</v>
      </c>
      <c r="T30" s="187">
        <f>(S185+S186+S191)*T152</f>
        <v>6.6626739638152133</v>
      </c>
      <c r="U30" s="187">
        <f>(T185+T186+T191)*U152</f>
        <v>6.213181926208021</v>
      </c>
      <c r="V30" s="187">
        <f>(U185+U186+U191)*V152</f>
        <v>6.266828854969603</v>
      </c>
      <c r="W30" s="188">
        <f t="shared" ref="W30" si="93">SUM(S30:V30)</f>
        <v>24.994837477209941</v>
      </c>
      <c r="X30" s="187">
        <f>(V185+V186+V191)*X152</f>
        <v>6.4102212205968536</v>
      </c>
      <c r="Y30" s="187">
        <f>(X185+X186+X191)*Y152</f>
        <v>7.7212563436747423</v>
      </c>
      <c r="Z30" s="187">
        <f>(Y185+Y186+Y191)*Z152</f>
        <v>7.2547285361020641</v>
      </c>
      <c r="AA30" s="187">
        <f>(Z185+Z186+Z191)*AA152</f>
        <v>7.6261974129925312</v>
      </c>
      <c r="AB30" s="188">
        <f t="shared" ref="AB30" si="94">SUM(X30:AA30)</f>
        <v>29.012403513366191</v>
      </c>
      <c r="AC30" s="187">
        <f>(AA185+AA186+AA191)*AC152</f>
        <v>8.1008988347213666</v>
      </c>
      <c r="AD30" s="187">
        <f>(AC185+AC186+AC191)*AD152</f>
        <v>9.4440074682217556</v>
      </c>
      <c r="AE30" s="187">
        <f>(AD185+AD186+AD191)*AE152</f>
        <v>8.8566211716718204</v>
      </c>
      <c r="AF30" s="187">
        <f>(AE185+AE186+AE191)*AF152</f>
        <v>9.1303313699797748</v>
      </c>
      <c r="AG30" s="188">
        <f t="shared" ref="AG30" si="95">SUM(AC30:AF30)</f>
        <v>35.531858844594723</v>
      </c>
      <c r="AH30" s="187">
        <f>(AF185+AF186+AF191)*AH152</f>
        <v>9.5980746463631057</v>
      </c>
      <c r="AI30" s="187">
        <f>(AH185+AH186+AH191)*AI152</f>
        <v>10.483221313051683</v>
      </c>
      <c r="AJ30" s="187">
        <f>(AI185+AI186+AI191)*AJ152</f>
        <v>9.3291134164453986</v>
      </c>
      <c r="AK30" s="187">
        <f>(AJ185+AJ186+AJ191)*AK152</f>
        <v>9.1403890897703732</v>
      </c>
      <c r="AL30" s="188">
        <f t="shared" ref="AL30" si="96">SUM(AH30:AK30)</f>
        <v>38.550798465630564</v>
      </c>
    </row>
    <row r="31" spans="1:38" ht="17.25" x14ac:dyDescent="0.4">
      <c r="A31" s="293"/>
      <c r="B31" s="92" t="s">
        <v>164</v>
      </c>
      <c r="C31" s="81"/>
      <c r="D31" s="299">
        <v>-75</v>
      </c>
      <c r="E31" s="299">
        <v>-73.900000000000006</v>
      </c>
      <c r="F31" s="299">
        <v>-86.4</v>
      </c>
      <c r="G31" s="299">
        <f t="shared" si="90"/>
        <v>-95.699999999999989</v>
      </c>
      <c r="H31" s="324">
        <v>-331</v>
      </c>
      <c r="I31" s="299">
        <v>-91.9</v>
      </c>
      <c r="J31" s="299">
        <v>-99.2</v>
      </c>
      <c r="K31" s="299">
        <v>-120.8</v>
      </c>
      <c r="L31" s="191">
        <f>-(K207+K210)*L153</f>
        <v>-131.82973718590847</v>
      </c>
      <c r="M31" s="418">
        <f t="shared" ref="M31" si="97">SUM(I31:L31)</f>
        <v>-443.7297371859085</v>
      </c>
      <c r="N31" s="191">
        <f>-(L207+L210)*N153</f>
        <v>-128.90455422236997</v>
      </c>
      <c r="O31" s="191">
        <f>-(N207+N210)*O153</f>
        <v>-124.69907629149446</v>
      </c>
      <c r="P31" s="191">
        <f>-(O207+O210)*P153</f>
        <v>-121.61005930819697</v>
      </c>
      <c r="Q31" s="191">
        <f>-(P207+P210)*Q153</f>
        <v>-118.19776621193658</v>
      </c>
      <c r="R31" s="192">
        <f t="shared" ref="R31" si="98">SUM(N31:Q31)</f>
        <v>-493.41145603399798</v>
      </c>
      <c r="S31" s="191">
        <f>-(Q207+Q210)*S153</f>
        <v>-114.7790244658205</v>
      </c>
      <c r="T31" s="191">
        <f>-(S207+S210)*T153</f>
        <v>-112.72806672704482</v>
      </c>
      <c r="U31" s="191">
        <f>-(T207+T210)*U153</f>
        <v>-110.82830756529229</v>
      </c>
      <c r="V31" s="191">
        <f>-(U207+U210)*V153</f>
        <v>-108.86779197918895</v>
      </c>
      <c r="W31" s="192">
        <f t="shared" ref="W31" si="99">SUM(S31:V31)</f>
        <v>-447.20319073734657</v>
      </c>
      <c r="X31" s="191">
        <f>-(V207+V210)*X153</f>
        <v>-106.90423916102863</v>
      </c>
      <c r="Y31" s="191">
        <f>-(X207+X210)*Y153</f>
        <v>-104.93640588324087</v>
      </c>
      <c r="Z31" s="191">
        <f>-(Y207+Y210)*Z153</f>
        <v>-102.987579229199</v>
      </c>
      <c r="AA31" s="191">
        <f>-(Z207+Z210)*AA153</f>
        <v>-101.02753746869739</v>
      </c>
      <c r="AB31" s="192">
        <f t="shared" ref="AB31" si="100">SUM(X31:AA31)</f>
        <v>-415.8557617421659</v>
      </c>
      <c r="AC31" s="191">
        <f>-(AA207+AA210)*AC153</f>
        <v>-99.067608557876113</v>
      </c>
      <c r="AD31" s="191">
        <f>-(AC207+AC210)*AD153</f>
        <v>-96.045026986483748</v>
      </c>
      <c r="AE31" s="191">
        <f>-(AD207+AD210)*AE153</f>
        <v>-93.02439541048841</v>
      </c>
      <c r="AF31" s="191">
        <f>-(AE207+AE210)*AF153</f>
        <v>-90.001913198535931</v>
      </c>
      <c r="AG31" s="192">
        <f t="shared" ref="AG31" si="101">SUM(AC31:AF31)</f>
        <v>-378.13894415338422</v>
      </c>
      <c r="AH31" s="191">
        <f>-(AF207+AF210)*AH153</f>
        <v>-86.979667716195848</v>
      </c>
      <c r="AI31" s="191">
        <f>-(AH207+AH210)*AI153</f>
        <v>-81.104077301922246</v>
      </c>
      <c r="AJ31" s="191">
        <f>-(AI207+AI210)*AJ153</f>
        <v>-75.228599003168057</v>
      </c>
      <c r="AK31" s="191">
        <f>-(AJ207+AJ210)*AK153</f>
        <v>-69.352875437545649</v>
      </c>
      <c r="AL31" s="192">
        <f t="shared" ref="AL31" si="102">SUM(AH31:AK31)</f>
        <v>-312.66521945883181</v>
      </c>
    </row>
    <row r="32" spans="1:38" x14ac:dyDescent="0.25">
      <c r="A32" s="293"/>
      <c r="B32" s="539" t="s">
        <v>70</v>
      </c>
      <c r="C32" s="540"/>
      <c r="D32" s="298">
        <f t="shared" ref="D32:AB32" si="103">D26+D30+D31+D29</f>
        <v>965.50000000000045</v>
      </c>
      <c r="E32" s="298">
        <f t="shared" si="103"/>
        <v>819.99999999999966</v>
      </c>
      <c r="F32" s="298">
        <f t="shared" si="103"/>
        <v>1676.900000000001</v>
      </c>
      <c r="G32" s="298">
        <f t="shared" si="103"/>
        <v>1003.8000000000011</v>
      </c>
      <c r="H32" s="314">
        <f t="shared" si="103"/>
        <v>4466.2000000000053</v>
      </c>
      <c r="I32" s="298">
        <f t="shared" si="103"/>
        <v>1143.7999999999988</v>
      </c>
      <c r="J32" s="298">
        <f t="shared" si="103"/>
        <v>390.19999999999908</v>
      </c>
      <c r="K32" s="298">
        <f t="shared" si="103"/>
        <v>-811.9999999999992</v>
      </c>
      <c r="L32" s="189">
        <f t="shared" si="103"/>
        <v>354.12807712067314</v>
      </c>
      <c r="M32" s="190">
        <f t="shared" si="103"/>
        <v>1076.1280771206752</v>
      </c>
      <c r="N32" s="189">
        <f t="shared" si="103"/>
        <v>975.93748410719934</v>
      </c>
      <c r="O32" s="189">
        <f t="shared" si="103"/>
        <v>998.60986351933889</v>
      </c>
      <c r="P32" s="189">
        <f t="shared" si="103"/>
        <v>1014.4131467520569</v>
      </c>
      <c r="Q32" s="189">
        <f t="shared" si="103"/>
        <v>1158.1423073535375</v>
      </c>
      <c r="R32" s="190">
        <f t="shared" si="103"/>
        <v>4147.1028017321323</v>
      </c>
      <c r="S32" s="189">
        <f t="shared" si="103"/>
        <v>1291.5301272040829</v>
      </c>
      <c r="T32" s="189">
        <f t="shared" si="103"/>
        <v>1115.8720190978713</v>
      </c>
      <c r="U32" s="189">
        <f t="shared" si="103"/>
        <v>1212.3914714319938</v>
      </c>
      <c r="V32" s="189">
        <f t="shared" si="103"/>
        <v>1296.807647674618</v>
      </c>
      <c r="W32" s="190">
        <f t="shared" si="103"/>
        <v>4916.6012654085689</v>
      </c>
      <c r="X32" s="189">
        <f t="shared" si="103"/>
        <v>1485.8463876330786</v>
      </c>
      <c r="Y32" s="189">
        <f t="shared" si="103"/>
        <v>1274.1773246827195</v>
      </c>
      <c r="Z32" s="189">
        <f t="shared" si="103"/>
        <v>1366.436692196329</v>
      </c>
      <c r="AA32" s="189">
        <f t="shared" si="103"/>
        <v>1462.2516657357107</v>
      </c>
      <c r="AB32" s="190">
        <f t="shared" si="103"/>
        <v>5588.7120702478351</v>
      </c>
      <c r="AC32" s="189">
        <f t="shared" ref="AC32:AG32" si="104">AC26+AC30+AC31+AC29</f>
        <v>1700.8101927370751</v>
      </c>
      <c r="AD32" s="189">
        <f t="shared" si="104"/>
        <v>1469.9614005582537</v>
      </c>
      <c r="AE32" s="189">
        <f t="shared" si="104"/>
        <v>1541.2707608698634</v>
      </c>
      <c r="AF32" s="189">
        <f t="shared" si="104"/>
        <v>1675.7396913768723</v>
      </c>
      <c r="AG32" s="190">
        <f t="shared" si="104"/>
        <v>6387.7820455420697</v>
      </c>
      <c r="AH32" s="189">
        <f t="shared" ref="AH32:AL32" si="105">AH26+AH30+AH31+AH29</f>
        <v>1905.3032863986416</v>
      </c>
      <c r="AI32" s="189">
        <f t="shared" si="105"/>
        <v>1655.9359997305255</v>
      </c>
      <c r="AJ32" s="189">
        <f t="shared" si="105"/>
        <v>1736.1686396723603</v>
      </c>
      <c r="AK32" s="189">
        <f t="shared" si="105"/>
        <v>1850.4340722660859</v>
      </c>
      <c r="AL32" s="190">
        <f t="shared" si="105"/>
        <v>7147.8419980676081</v>
      </c>
    </row>
    <row r="33" spans="1:38" ht="17.25" x14ac:dyDescent="0.4">
      <c r="A33" s="293"/>
      <c r="B33" s="543" t="s">
        <v>35</v>
      </c>
      <c r="C33" s="544"/>
      <c r="D33" s="299">
        <v>205.1</v>
      </c>
      <c r="E33" s="299">
        <v>161.19999999999999</v>
      </c>
      <c r="F33" s="299">
        <v>303.7</v>
      </c>
      <c r="G33" s="299">
        <f t="shared" ref="G33" si="106">H33-F33-E33-D33</f>
        <v>201.60000000000011</v>
      </c>
      <c r="H33" s="324">
        <v>871.6</v>
      </c>
      <c r="I33" s="299">
        <v>258.5</v>
      </c>
      <c r="J33" s="299">
        <v>65.400000000000006</v>
      </c>
      <c r="K33" s="299">
        <v>-133.9</v>
      </c>
      <c r="L33" s="191">
        <f>+L32*L151</f>
        <v>88.532019280168285</v>
      </c>
      <c r="M33" s="192">
        <f>SUM(I33:L33)</f>
        <v>278.53201928016824</v>
      </c>
      <c r="N33" s="191">
        <f>+N32*N151</f>
        <v>243.98437102679983</v>
      </c>
      <c r="O33" s="191">
        <f>+O32*O151</f>
        <v>249.65246587983472</v>
      </c>
      <c r="P33" s="191">
        <f>+P32*P151</f>
        <v>253.60328668801424</v>
      </c>
      <c r="Q33" s="191">
        <f>+Q32*Q151</f>
        <v>289.53557683838437</v>
      </c>
      <c r="R33" s="192">
        <f>SUM(N33:Q33)</f>
        <v>1036.7757004330333</v>
      </c>
      <c r="S33" s="191">
        <f>+S32*S151</f>
        <v>320.75076793201879</v>
      </c>
      <c r="T33" s="191">
        <f>+T32*T151</f>
        <v>276.66572045039567</v>
      </c>
      <c r="U33" s="191">
        <f>+U32*U151</f>
        <v>299.97108692843761</v>
      </c>
      <c r="V33" s="191">
        <f>+V32*V151</f>
        <v>320.02129707847797</v>
      </c>
      <c r="W33" s="192">
        <f>SUM(S33:V33)</f>
        <v>1217.4088723893301</v>
      </c>
      <c r="X33" s="191">
        <f>+X32*X151</f>
        <v>367.92655253642994</v>
      </c>
      <c r="Y33" s="191">
        <f>+Y32*Y151</f>
        <v>315.28079546576805</v>
      </c>
      <c r="Z33" s="191">
        <f>+Z32*Z151</f>
        <v>337.93918815231137</v>
      </c>
      <c r="AA33" s="191">
        <f>+AA32*AA151</f>
        <v>361.59655347854368</v>
      </c>
      <c r="AB33" s="192">
        <f>SUM(X33:AA33)</f>
        <v>1382.7430896330529</v>
      </c>
      <c r="AC33" s="191">
        <f>+AC32*AC151</f>
        <v>420.80648784122525</v>
      </c>
      <c r="AD33" s="191">
        <f>+AD32*AD151</f>
        <v>363.61542719076942</v>
      </c>
      <c r="AE33" s="191">
        <f>+AE32*AE151</f>
        <v>381.22597560216627</v>
      </c>
      <c r="AF33" s="191">
        <f>+AF32*AF151</f>
        <v>414.49922823642629</v>
      </c>
      <c r="AG33" s="192">
        <f>SUM(AC33:AF33)</f>
        <v>1580.1471188705871</v>
      </c>
      <c r="AH33" s="191">
        <f>+AH32*AH151</f>
        <v>471.3136683223334</v>
      </c>
      <c r="AI33" s="191">
        <f>+AI32*AI151</f>
        <v>409.60881919440573</v>
      </c>
      <c r="AJ33" s="191">
        <f>+AJ32*AJ151</f>
        <v>429.45236976850538</v>
      </c>
      <c r="AK33" s="191">
        <f>+AK32*AK151</f>
        <v>457.72180354072231</v>
      </c>
      <c r="AL33" s="192">
        <f>SUM(AH33:AK33)</f>
        <v>1768.0966608259669</v>
      </c>
    </row>
    <row r="34" spans="1:38" x14ac:dyDescent="0.25">
      <c r="A34" s="359"/>
      <c r="B34" s="539" t="s">
        <v>165</v>
      </c>
      <c r="C34" s="540"/>
      <c r="D34" s="298">
        <f t="shared" ref="D34:AA34" si="107">+D32-D33</f>
        <v>760.40000000000043</v>
      </c>
      <c r="E34" s="298">
        <f t="shared" si="107"/>
        <v>658.79999999999973</v>
      </c>
      <c r="F34" s="298">
        <f t="shared" si="107"/>
        <v>1373.200000000001</v>
      </c>
      <c r="G34" s="298">
        <f t="shared" si="107"/>
        <v>802.20000000000095</v>
      </c>
      <c r="H34" s="314">
        <f t="shared" ref="H34" si="108">+H32-H33</f>
        <v>3594.6000000000054</v>
      </c>
      <c r="I34" s="298">
        <f t="shared" si="107"/>
        <v>885.29999999999882</v>
      </c>
      <c r="J34" s="298">
        <f t="shared" si="107"/>
        <v>324.79999999999905</v>
      </c>
      <c r="K34" s="298">
        <f t="shared" si="107"/>
        <v>-678.09999999999923</v>
      </c>
      <c r="L34" s="189">
        <f t="shared" si="107"/>
        <v>265.59605784050484</v>
      </c>
      <c r="M34" s="190">
        <f t="shared" ref="M34" si="109">+M32-M33</f>
        <v>797.596057840507</v>
      </c>
      <c r="N34" s="189">
        <f t="shared" si="107"/>
        <v>731.95311308039948</v>
      </c>
      <c r="O34" s="189">
        <f t="shared" si="107"/>
        <v>748.95739763950417</v>
      </c>
      <c r="P34" s="189">
        <f t="shared" si="107"/>
        <v>760.80986006404271</v>
      </c>
      <c r="Q34" s="189">
        <f t="shared" si="107"/>
        <v>868.60673051515312</v>
      </c>
      <c r="R34" s="190">
        <f t="shared" ref="R34" si="110">+R32-R33</f>
        <v>3110.327101299099</v>
      </c>
      <c r="S34" s="189">
        <f t="shared" si="107"/>
        <v>970.77935927206408</v>
      </c>
      <c r="T34" s="189">
        <f t="shared" si="107"/>
        <v>839.20629864747571</v>
      </c>
      <c r="U34" s="189">
        <f t="shared" si="107"/>
        <v>912.42038450355608</v>
      </c>
      <c r="V34" s="189">
        <f t="shared" si="107"/>
        <v>976.78635059613998</v>
      </c>
      <c r="W34" s="190">
        <f t="shared" ref="W34" si="111">+W32-W33</f>
        <v>3699.1923930192388</v>
      </c>
      <c r="X34" s="189">
        <f t="shared" si="107"/>
        <v>1117.9198350966487</v>
      </c>
      <c r="Y34" s="189">
        <f t="shared" si="107"/>
        <v>958.89652921695142</v>
      </c>
      <c r="Z34" s="189">
        <f t="shared" si="107"/>
        <v>1028.4975040440177</v>
      </c>
      <c r="AA34" s="189">
        <f t="shared" si="107"/>
        <v>1100.655112257167</v>
      </c>
      <c r="AB34" s="190">
        <f t="shared" ref="AB34:AF34" si="112">+AB32-AB33</f>
        <v>4205.9689806147817</v>
      </c>
      <c r="AC34" s="189">
        <f t="shared" si="112"/>
        <v>1280.0037048958498</v>
      </c>
      <c r="AD34" s="189">
        <f t="shared" si="112"/>
        <v>1106.3459733674842</v>
      </c>
      <c r="AE34" s="189">
        <f t="shared" si="112"/>
        <v>1160.0447852676971</v>
      </c>
      <c r="AF34" s="298">
        <f t="shared" si="112"/>
        <v>1261.2404631404461</v>
      </c>
      <c r="AG34" s="314">
        <f t="shared" ref="AG34:AK34" si="113">+AG32-AG33</f>
        <v>4807.6349266714824</v>
      </c>
      <c r="AH34" s="298">
        <f t="shared" si="113"/>
        <v>1433.9896180763083</v>
      </c>
      <c r="AI34" s="298">
        <f t="shared" si="113"/>
        <v>1246.3271805361198</v>
      </c>
      <c r="AJ34" s="298">
        <f t="shared" si="113"/>
        <v>1306.7162699038549</v>
      </c>
      <c r="AK34" s="298">
        <f t="shared" si="113"/>
        <v>1392.7122687253636</v>
      </c>
      <c r="AL34" s="190">
        <f t="shared" ref="AL34" si="114">+AL32-AL33</f>
        <v>5379.7453372416412</v>
      </c>
    </row>
    <row r="35" spans="1:38" ht="17.25" x14ac:dyDescent="0.4">
      <c r="A35" s="359"/>
      <c r="B35" s="344" t="s">
        <v>166</v>
      </c>
      <c r="C35" s="83"/>
      <c r="D35" s="299">
        <v>-0.2</v>
      </c>
      <c r="E35" s="299">
        <v>-4.4000000000000004</v>
      </c>
      <c r="F35" s="299">
        <v>0.4</v>
      </c>
      <c r="G35" s="299">
        <f t="shared" ref="G35" si="115">H35-F35-E35-D35</f>
        <v>-0.39999999999999963</v>
      </c>
      <c r="H35" s="324">
        <v>-4.5999999999999996</v>
      </c>
      <c r="I35" s="299">
        <v>-0.4</v>
      </c>
      <c r="J35" s="299">
        <v>-3.6</v>
      </c>
      <c r="K35" s="299">
        <v>0.3</v>
      </c>
      <c r="L35" s="299">
        <f>AVERAGE(K35,J35,I35,G35)</f>
        <v>-1.0249999999999999</v>
      </c>
      <c r="M35" s="324">
        <f>SUM(I35:L35)</f>
        <v>-4.7249999999999996</v>
      </c>
      <c r="N35" s="299">
        <f>AVERAGE(L35,K35,J35,I35)</f>
        <v>-1.1812500000000001</v>
      </c>
      <c r="O35" s="299">
        <f>AVERAGE(N35,L35,K35,J35)</f>
        <v>-1.3765624999999999</v>
      </c>
      <c r="P35" s="299">
        <f>AVERAGE(O35,N35,L35,K35)</f>
        <v>-0.82070312499999998</v>
      </c>
      <c r="Q35" s="299">
        <f>AVERAGE(P35,O35,N35,L35)</f>
        <v>-1.1008789062500002</v>
      </c>
      <c r="R35" s="324">
        <f>SUM(N35:Q35)</f>
        <v>-4.4793945312499996</v>
      </c>
      <c r="S35" s="299">
        <f>AVERAGE(Q35,P35,O35,N35)</f>
        <v>-1.1198486328125001</v>
      </c>
      <c r="T35" s="299">
        <f>AVERAGE(S35,Q35,P35,O35)</f>
        <v>-1.1044982910156251</v>
      </c>
      <c r="U35" s="299">
        <f>AVERAGE(T35,S35,Q35,P35)</f>
        <v>-1.0364822387695314</v>
      </c>
      <c r="V35" s="299">
        <f>AVERAGE(U35,T35,S35,Q35)</f>
        <v>-1.0904270172119142</v>
      </c>
      <c r="W35" s="324">
        <f>SUM(S35:V35)</f>
        <v>-4.351256179809571</v>
      </c>
      <c r="X35" s="299">
        <f>AVERAGE(V35,U35,T35,S35)</f>
        <v>-1.0878140449523928</v>
      </c>
      <c r="Y35" s="299">
        <f>AVERAGE(X35,V35,U35,T35)</f>
        <v>-1.0798053979873659</v>
      </c>
      <c r="Z35" s="299">
        <f>AVERAGE(Y35,X35,V35,U35)</f>
        <v>-1.073632174730301</v>
      </c>
      <c r="AA35" s="299">
        <f>AVERAGE(Z35,Y35,X35,V35)</f>
        <v>-1.0829196587204934</v>
      </c>
      <c r="AB35" s="324">
        <f>SUM(X35:AA35)</f>
        <v>-4.3241712763905538</v>
      </c>
      <c r="AC35" s="299">
        <f>AVERAGE(AA35,Z35,Y35,X35)</f>
        <v>-1.0810428190976382</v>
      </c>
      <c r="AD35" s="299">
        <f>AVERAGE(AC35,AA35,Z35,Y35)</f>
        <v>-1.0793500126339497</v>
      </c>
      <c r="AE35" s="299">
        <f>AVERAGE(AD35,AC35,AA35,Z35)</f>
        <v>-1.0792361662955956</v>
      </c>
      <c r="AF35" s="299">
        <f>AVERAGE(AE35,AD35,AC35,AA35)</f>
        <v>-1.0806371641869192</v>
      </c>
      <c r="AG35" s="324">
        <f>SUM(AC35:AF35)</f>
        <v>-4.3202661622141028</v>
      </c>
      <c r="AH35" s="299">
        <f>AVERAGE(AF35,AE35,AD35,AC35)</f>
        <v>-1.0800665405535257</v>
      </c>
      <c r="AI35" s="299">
        <f>AVERAGE(AH35,AF35,AE35,AD35)</f>
        <v>-1.0798224709174975</v>
      </c>
      <c r="AJ35" s="299">
        <f>AVERAGE(AI35,AH35,AF35,AE35)</f>
        <v>-1.0799405854883846</v>
      </c>
      <c r="AK35" s="299">
        <f>AVERAGE(AJ35,AI35,AH35,AF35)</f>
        <v>-1.0801166902865817</v>
      </c>
      <c r="AL35" s="192">
        <f>SUM(AH35:AK35)</f>
        <v>-4.3199462872459895</v>
      </c>
    </row>
    <row r="36" spans="1:38" s="20" customFormat="1" x14ac:dyDescent="0.25">
      <c r="A36" s="385"/>
      <c r="B36" s="341" t="s">
        <v>111</v>
      </c>
      <c r="C36" s="91"/>
      <c r="D36" s="298">
        <f t="shared" ref="D36:AB36" si="116">+D34-D35</f>
        <v>760.60000000000048</v>
      </c>
      <c r="E36" s="298">
        <f t="shared" si="116"/>
        <v>663.1999999999997</v>
      </c>
      <c r="F36" s="298">
        <f t="shared" si="116"/>
        <v>1372.8000000000009</v>
      </c>
      <c r="G36" s="298">
        <f t="shared" si="116"/>
        <v>802.60000000000093</v>
      </c>
      <c r="H36" s="314">
        <f t="shared" si="116"/>
        <v>3599.2000000000053</v>
      </c>
      <c r="I36" s="298">
        <f t="shared" si="116"/>
        <v>885.69999999999879</v>
      </c>
      <c r="J36" s="298">
        <f t="shared" si="116"/>
        <v>328.39999999999907</v>
      </c>
      <c r="K36" s="298">
        <f t="shared" si="116"/>
        <v>-678.39999999999918</v>
      </c>
      <c r="L36" s="189">
        <f t="shared" si="116"/>
        <v>266.62105784050482</v>
      </c>
      <c r="M36" s="190">
        <f t="shared" si="116"/>
        <v>802.32105784050702</v>
      </c>
      <c r="N36" s="189">
        <f t="shared" si="116"/>
        <v>733.13436308039945</v>
      </c>
      <c r="O36" s="189">
        <f t="shared" si="116"/>
        <v>750.33396013950414</v>
      </c>
      <c r="P36" s="189">
        <f t="shared" si="116"/>
        <v>761.63056318904273</v>
      </c>
      <c r="Q36" s="189">
        <f t="shared" si="116"/>
        <v>869.70760942140316</v>
      </c>
      <c r="R36" s="190">
        <f t="shared" si="116"/>
        <v>3114.8064958303489</v>
      </c>
      <c r="S36" s="189">
        <f t="shared" si="116"/>
        <v>971.89920790487656</v>
      </c>
      <c r="T36" s="189">
        <f t="shared" si="116"/>
        <v>840.31079693849131</v>
      </c>
      <c r="U36" s="189">
        <f t="shared" si="116"/>
        <v>913.45686674232559</v>
      </c>
      <c r="V36" s="189">
        <f t="shared" si="116"/>
        <v>977.87677761335192</v>
      </c>
      <c r="W36" s="190">
        <f t="shared" si="116"/>
        <v>3703.5436491990486</v>
      </c>
      <c r="X36" s="189">
        <f t="shared" si="116"/>
        <v>1119.0076491416012</v>
      </c>
      <c r="Y36" s="189">
        <f t="shared" si="116"/>
        <v>959.97633461493876</v>
      </c>
      <c r="Z36" s="189">
        <f t="shared" si="116"/>
        <v>1029.5711362187481</v>
      </c>
      <c r="AA36" s="189">
        <f t="shared" si="116"/>
        <v>1101.7380319158876</v>
      </c>
      <c r="AB36" s="190">
        <f t="shared" si="116"/>
        <v>4210.2931518911719</v>
      </c>
      <c r="AC36" s="189">
        <f t="shared" ref="AC36:AG36" si="117">+AC34-AC35</f>
        <v>1281.0847477149473</v>
      </c>
      <c r="AD36" s="189">
        <f t="shared" si="117"/>
        <v>1107.4253233801182</v>
      </c>
      <c r="AE36" s="189">
        <f t="shared" si="117"/>
        <v>1161.1240214339928</v>
      </c>
      <c r="AF36" s="189">
        <f t="shared" si="117"/>
        <v>1262.3211003046331</v>
      </c>
      <c r="AG36" s="190">
        <f t="shared" si="117"/>
        <v>4811.9551928336969</v>
      </c>
      <c r="AH36" s="189">
        <f t="shared" ref="AH36:AL36" si="118">+AH34-AH35</f>
        <v>1435.0696846168619</v>
      </c>
      <c r="AI36" s="189">
        <f t="shared" si="118"/>
        <v>1247.4070030070372</v>
      </c>
      <c r="AJ36" s="189">
        <f t="shared" si="118"/>
        <v>1307.7962104893434</v>
      </c>
      <c r="AK36" s="189">
        <f t="shared" si="118"/>
        <v>1393.7923854156502</v>
      </c>
      <c r="AL36" s="190">
        <f t="shared" si="118"/>
        <v>5384.0652835288874</v>
      </c>
    </row>
    <row r="37" spans="1:38" s="20" customFormat="1" ht="17.25" x14ac:dyDescent="0.4">
      <c r="A37" s="385"/>
      <c r="B37" s="248" t="s">
        <v>216</v>
      </c>
      <c r="C37" s="245"/>
      <c r="D37" s="304">
        <f t="shared" ref="D37:AA37" si="119">-D178-D179</f>
        <v>41.449999999998646</v>
      </c>
      <c r="E37" s="304">
        <f t="shared" si="119"/>
        <v>-54.179999999999545</v>
      </c>
      <c r="F37" s="304">
        <f t="shared" si="119"/>
        <v>-544.16000000000076</v>
      </c>
      <c r="G37" s="304">
        <f t="shared" si="119"/>
        <v>-30</v>
      </c>
      <c r="H37" s="395">
        <f>SUM(D37:G37)</f>
        <v>-586.89000000000169</v>
      </c>
      <c r="I37" s="304">
        <f t="shared" si="119"/>
        <v>-11</v>
      </c>
      <c r="J37" s="304">
        <f t="shared" si="119"/>
        <v>-23</v>
      </c>
      <c r="K37" s="304">
        <f t="shared" si="119"/>
        <v>-35.055</v>
      </c>
      <c r="L37" s="252">
        <f>-L178-L179</f>
        <v>-46.76</v>
      </c>
      <c r="M37" s="253">
        <f>SUM(I37:L37)</f>
        <v>-115.815</v>
      </c>
      <c r="N37" s="252">
        <f t="shared" si="119"/>
        <v>-24.530499999999996</v>
      </c>
      <c r="O37" s="252">
        <f t="shared" si="119"/>
        <v>-24.146812499999999</v>
      </c>
      <c r="P37" s="252">
        <f t="shared" si="119"/>
        <v>-23.630164062499997</v>
      </c>
      <c r="Q37" s="252">
        <f t="shared" si="119"/>
        <v>-3.9095770540434076</v>
      </c>
      <c r="R37" s="253">
        <f>SUM(N37:Q37)</f>
        <v>-76.21705361654341</v>
      </c>
      <c r="S37" s="252">
        <f t="shared" si="119"/>
        <v>-24.44786389160156</v>
      </c>
      <c r="T37" s="252">
        <f t="shared" si="119"/>
        <v>-25.713846878051754</v>
      </c>
      <c r="U37" s="252">
        <f t="shared" si="119"/>
        <v>-27.258077737808225</v>
      </c>
      <c r="V37" s="252">
        <f t="shared" si="119"/>
        <v>-26.323337455034256</v>
      </c>
      <c r="W37" s="253">
        <f>SUM(S37:V37)</f>
        <v>-103.74312596249578</v>
      </c>
      <c r="X37" s="252">
        <f t="shared" si="119"/>
        <v>-24.937754636913539</v>
      </c>
      <c r="Y37" s="252">
        <f t="shared" si="119"/>
        <v>-24.988661466527731</v>
      </c>
      <c r="Z37" s="252">
        <f t="shared" si="119"/>
        <v>-25.093892587343692</v>
      </c>
      <c r="AA37" s="252">
        <f t="shared" si="119"/>
        <v>-25.276858652949155</v>
      </c>
      <c r="AB37" s="253">
        <f>SUM(X37:AA37)</f>
        <v>-100.29716734373412</v>
      </c>
      <c r="AC37" s="252">
        <f t="shared" ref="AC37:AF37" si="120">-AC178-AC179</f>
        <v>-25.505036663278737</v>
      </c>
      <c r="AD37" s="252">
        <f t="shared" si="120"/>
        <v>-25.637183259738386</v>
      </c>
      <c r="AE37" s="252">
        <f t="shared" si="120"/>
        <v>-25.627600307449214</v>
      </c>
      <c r="AF37" s="252">
        <f t="shared" si="120"/>
        <v>-25.423790628654341</v>
      </c>
      <c r="AG37" s="253">
        <f>SUM(AC37:AF37)</f>
        <v>-102.19361085912068</v>
      </c>
      <c r="AH37" s="252">
        <f t="shared" ref="AH37:AK37" si="121">-AH178-AH179</f>
        <v>-25.311347275356852</v>
      </c>
      <c r="AI37" s="252">
        <f t="shared" si="121"/>
        <v>-25.358046355162262</v>
      </c>
      <c r="AJ37" s="252">
        <f t="shared" si="121"/>
        <v>-25.404219466241582</v>
      </c>
      <c r="AK37" s="252">
        <f t="shared" si="121"/>
        <v>-25.443010326103817</v>
      </c>
      <c r="AL37" s="253">
        <f>SUM(AH37:AK37)</f>
        <v>-101.51662342286451</v>
      </c>
    </row>
    <row r="38" spans="1:38" s="20" customFormat="1" x14ac:dyDescent="0.25">
      <c r="A38" s="385"/>
      <c r="B38" s="246" t="s">
        <v>217</v>
      </c>
      <c r="C38" s="247"/>
      <c r="D38" s="303">
        <f t="shared" ref="D38:AB38" si="122">+D28+D29+D30+D31-D33-D35+D37</f>
        <v>940.04999999999916</v>
      </c>
      <c r="E38" s="303">
        <f t="shared" si="122"/>
        <v>750.42000000000007</v>
      </c>
      <c r="F38" s="303">
        <f t="shared" si="122"/>
        <v>953.94</v>
      </c>
      <c r="G38" s="303">
        <f t="shared" si="122"/>
        <v>850.00000000000102</v>
      </c>
      <c r="H38" s="394">
        <f t="shared" si="122"/>
        <v>3494.4100000000039</v>
      </c>
      <c r="I38" s="303">
        <f t="shared" si="122"/>
        <v>946.2999999999987</v>
      </c>
      <c r="J38" s="303">
        <f t="shared" si="122"/>
        <v>372.19999999999902</v>
      </c>
      <c r="K38" s="303">
        <f t="shared" si="122"/>
        <v>-539.7749999999993</v>
      </c>
      <c r="L38" s="239">
        <f>+L28+L29+L30+L31-L33-L35+L37</f>
        <v>406.90105784050496</v>
      </c>
      <c r="M38" s="240">
        <f t="shared" si="122"/>
        <v>1185.6260578405067</v>
      </c>
      <c r="N38" s="239">
        <f t="shared" si="122"/>
        <v>831.2563630803993</v>
      </c>
      <c r="O38" s="239">
        <f t="shared" si="122"/>
        <v>846.92121013950407</v>
      </c>
      <c r="P38" s="239">
        <f t="shared" si="122"/>
        <v>856.15121943904273</v>
      </c>
      <c r="Q38" s="239">
        <f t="shared" si="122"/>
        <v>885.34591763757669</v>
      </c>
      <c r="R38" s="240">
        <f t="shared" si="122"/>
        <v>3419.6747102965219</v>
      </c>
      <c r="S38" s="239">
        <f t="shared" si="122"/>
        <v>1069.6906634712827</v>
      </c>
      <c r="T38" s="239">
        <f t="shared" si="122"/>
        <v>943.16618445069832</v>
      </c>
      <c r="U38" s="239">
        <f t="shared" si="122"/>
        <v>1022.4891776935585</v>
      </c>
      <c r="V38" s="239">
        <f t="shared" si="122"/>
        <v>1083.1701274334887</v>
      </c>
      <c r="W38" s="240">
        <f t="shared" si="122"/>
        <v>4118.5161530490323</v>
      </c>
      <c r="X38" s="239">
        <f t="shared" si="122"/>
        <v>1218.7586676892554</v>
      </c>
      <c r="Y38" s="239">
        <f t="shared" si="122"/>
        <v>1059.9309804810498</v>
      </c>
      <c r="Z38" s="239">
        <f t="shared" si="122"/>
        <v>1129.9467065681229</v>
      </c>
      <c r="AA38" s="239">
        <f t="shared" si="122"/>
        <v>1202.8454665276843</v>
      </c>
      <c r="AB38" s="240">
        <f t="shared" si="122"/>
        <v>4611.4818212661094</v>
      </c>
      <c r="AC38" s="239">
        <f t="shared" ref="AC38:AG38" si="123">+AC28+AC29+AC30+AC31-AC33-AC35+AC37</f>
        <v>1383.1048943680623</v>
      </c>
      <c r="AD38" s="239">
        <f t="shared" si="123"/>
        <v>1209.9740564190718</v>
      </c>
      <c r="AE38" s="239">
        <f t="shared" si="123"/>
        <v>1263.6344226637896</v>
      </c>
      <c r="AF38" s="239">
        <f t="shared" si="123"/>
        <v>1364.0162628192504</v>
      </c>
      <c r="AG38" s="240">
        <f t="shared" si="123"/>
        <v>5220.7296362701791</v>
      </c>
      <c r="AH38" s="239">
        <f t="shared" ref="AH38:AL38" si="124">+AH28+AH29+AH30+AH31-AH33-AH35+AH37</f>
        <v>1536.3150737182893</v>
      </c>
      <c r="AI38" s="239">
        <f t="shared" si="124"/>
        <v>1348.8391884276862</v>
      </c>
      <c r="AJ38" s="239">
        <f t="shared" si="124"/>
        <v>1409.4130883543096</v>
      </c>
      <c r="AK38" s="239">
        <f t="shared" si="124"/>
        <v>1495.5644267200655</v>
      </c>
      <c r="AL38" s="240">
        <f t="shared" si="124"/>
        <v>5790.1317772203456</v>
      </c>
    </row>
    <row r="39" spans="1:38" x14ac:dyDescent="0.25">
      <c r="A39" s="293"/>
      <c r="B39" s="510" t="s">
        <v>0</v>
      </c>
      <c r="C39" s="511"/>
      <c r="D39" s="295">
        <v>1242</v>
      </c>
      <c r="E39" s="295">
        <v>1239.2</v>
      </c>
      <c r="F39" s="295">
        <v>1211</v>
      </c>
      <c r="G39" s="295">
        <v>1210.7904210526317</v>
      </c>
      <c r="H39" s="296">
        <v>1221.2</v>
      </c>
      <c r="I39" s="295">
        <v>1180.4000000000001</v>
      </c>
      <c r="J39" s="295">
        <v>1171.8</v>
      </c>
      <c r="K39" s="295">
        <v>1168.5</v>
      </c>
      <c r="L39" s="37">
        <f>K39*(1+L158)-L162-L165-L168</f>
        <v>1167.3874645009873</v>
      </c>
      <c r="M39" s="38">
        <f>+(I36/M36*I39)+(J36/M36*J39)+(K36/M36*K39)+(L36/M36*L39)</f>
        <v>1182.6176957748698</v>
      </c>
      <c r="N39" s="37">
        <f>L39*(1+N158)-N162-N165-N168</f>
        <v>1160.7785847212888</v>
      </c>
      <c r="O39" s="37">
        <f>N39*(1+O158)-O162-O165-O168</f>
        <v>1157.1396549366673</v>
      </c>
      <c r="P39" s="37">
        <f>O39*(1+P158)-P162-P165-P168</f>
        <v>1153.240724080109</v>
      </c>
      <c r="Q39" s="37">
        <f>P39*(1+Q158)-Q162-Q165-Q168</f>
        <v>1149.5026507620146</v>
      </c>
      <c r="R39" s="38">
        <f>+(N36/R36*N39)+(O36/R36*O39)+(P36/R36*P39)+(Q36/R36*Q39)</f>
        <v>1154.9104053549208</v>
      </c>
      <c r="S39" s="37">
        <f>Q39*(1+S158)-S162-S165-S168</f>
        <v>1145.084674938015</v>
      </c>
      <c r="T39" s="37">
        <f>S39*(1+T158)-T162-T165-T168</f>
        <v>1141.1836142778152</v>
      </c>
      <c r="U39" s="37">
        <f>T39*(1+U158)-U162-U165-U168</f>
        <v>1137.2182285880024</v>
      </c>
      <c r="V39" s="37">
        <f>U39*(1+V158)-V162-V165-V168</f>
        <v>1133.23662240881</v>
      </c>
      <c r="W39" s="38">
        <f>+(S36/W36*S39)+(T36/W36*T39)+(U36/W36*U39)+(V36/W36*V39)</f>
        <v>1139.1309991225344</v>
      </c>
      <c r="X39" s="37">
        <f>V39*(1+X158)-X162-X165-X168</f>
        <v>1129.1952982983723</v>
      </c>
      <c r="Y39" s="37">
        <f>X39*(1+Y158)-Y162-Y165-Y168</f>
        <v>1125.2465885368172</v>
      </c>
      <c r="Z39" s="37">
        <f>Y39*(1+Z158)-Z162-Z165-Z168</f>
        <v>1121.28628086361</v>
      </c>
      <c r="AA39" s="37">
        <f>Z39*(1+AA158)-AA162-AA165-AA168</f>
        <v>1117.3273301997745</v>
      </c>
      <c r="AB39" s="38">
        <f>+(X36/AB36*X39)+(Y36/AB36*Y39)+(Z36/AB36*Z39)+(AA36/AB36*AA39)</f>
        <v>1123.2553423609597</v>
      </c>
      <c r="AC39" s="37">
        <f>AA39*(1+AC158)-AC162-AC165-AC168</f>
        <v>1113.3740545865537</v>
      </c>
      <c r="AD39" s="37">
        <f>AC39*(1+AD158)-AD162-AD165-AD168</f>
        <v>1109.4425157654077</v>
      </c>
      <c r="AE39" s="37">
        <f>AD39*(1+AE158)-AE162-AE165-AE168</f>
        <v>1105.5153039741654</v>
      </c>
      <c r="AF39" s="37">
        <f>AE39*(1+AF158)-AF162-AF165-AF168</f>
        <v>1101.5963308050998</v>
      </c>
      <c r="AG39" s="38">
        <f>+(AC36/AG36*AC39)+(AD36/AG36*AD39)+(AE36/AG36*AE39)+(AF36/AG36*AF39)</f>
        <v>1107.4832809047866</v>
      </c>
      <c r="AH39" s="37">
        <f>AF39*(1+AH158)-AH162-AH165-AH168</f>
        <v>1097.6872862680902</v>
      </c>
      <c r="AI39" s="37">
        <f>AH39*(1+AI158)-AI162-AI165-AI168</f>
        <v>1093.7892147734215</v>
      </c>
      <c r="AJ39" s="37">
        <f>AI39*(1+AJ158)-AJ162-AJ165-AJ168</f>
        <v>1089.8994723700625</v>
      </c>
      <c r="AK39" s="37">
        <f>AJ39*(1+AK158)-AK162-AK165-AK168</f>
        <v>1086.0190417561269</v>
      </c>
      <c r="AL39" s="38">
        <f>+(AH36/AL36*AH39)+(AI36/AL36*AI39)+(AJ36/AL36*AJ39)+(AK36/AL36*AK39)</f>
        <v>1091.8718914153881</v>
      </c>
    </row>
    <row r="40" spans="1:38" ht="15.75" customHeight="1" x14ac:dyDescent="0.25">
      <c r="A40" s="293"/>
      <c r="B40" s="510" t="s">
        <v>1</v>
      </c>
      <c r="C40" s="511"/>
      <c r="D40" s="295">
        <v>1253.4000000000001</v>
      </c>
      <c r="E40" s="295">
        <v>1250.7</v>
      </c>
      <c r="F40" s="295">
        <v>1223</v>
      </c>
      <c r="G40" s="295">
        <v>1222.8144210526316</v>
      </c>
      <c r="H40" s="296">
        <v>1233.2</v>
      </c>
      <c r="I40" s="295">
        <v>1191</v>
      </c>
      <c r="J40" s="295">
        <v>1180.7</v>
      </c>
      <c r="K40" s="295">
        <v>1168.5</v>
      </c>
      <c r="L40" s="37">
        <f>K40*(1+L159)-L162-L165-L168</f>
        <v>1164.4292336761357</v>
      </c>
      <c r="M40" s="38">
        <f>+(I36/M36*I40)+(J36/M36*J40)+(K36/M36*K40)+(L36/M36*L40)</f>
        <v>1196.9790954359421</v>
      </c>
      <c r="N40" s="37">
        <f>L40*(1+N159)-N162-N165-N168</f>
        <v>1154.1981132594142</v>
      </c>
      <c r="O40" s="37">
        <f>N40*(1+O159)-O162-O165-O168</f>
        <v>1146.363414803368</v>
      </c>
      <c r="P40" s="37">
        <f>O40*(1+P159)-P162-P165-P168</f>
        <v>1137.6694104084465</v>
      </c>
      <c r="Q40" s="37">
        <f>P40*(1+Q159)-Q162-Q165-Q168</f>
        <v>1130.1238167552676</v>
      </c>
      <c r="R40" s="38">
        <f>+(N36/R36*N40)+(O36/R36*O40)+(P36/R36*P40)+(Q36/R36*Q40)</f>
        <v>1141.5472457034157</v>
      </c>
      <c r="S40" s="37">
        <f>Q40*(1+S159)-S162-S165-S168</f>
        <v>1121.7049687321837</v>
      </c>
      <c r="T40" s="37">
        <f>S40*(1+T159)-T162-T165-T168</f>
        <v>1113.7034932736021</v>
      </c>
      <c r="U40" s="37">
        <f>T40*(1+U159)-U162-U165-U168</f>
        <v>1105.6627686340569</v>
      </c>
      <c r="V40" s="37">
        <f>U40*(1+V159)-V162-V165-V168</f>
        <v>1097.780575345806</v>
      </c>
      <c r="W40" s="38">
        <f>+(S36/W36*S40)+(T36/W36*T40)+(U36/W36*U40)+(V36/W36*V40)</f>
        <v>1109.6158192557668</v>
      </c>
      <c r="X40" s="37">
        <f>V40*(1+X159)-X162-X165-X168</f>
        <v>1089.8181488603723</v>
      </c>
      <c r="Y40" s="37">
        <f>X40*(1+Y159)-Y162-Y165-Y168</f>
        <v>1081.9667670806964</v>
      </c>
      <c r="Z40" s="37">
        <f>Y40*(1+Z159)-Z162-Z165-Z168</f>
        <v>1074.1525612084461</v>
      </c>
      <c r="AA40" s="37">
        <f>Z40*(1+AA159)-AA162-AA165-AA168</f>
        <v>1066.393955510463</v>
      </c>
      <c r="AB40" s="38">
        <f>+(X36/AB36*X40)+(Y36/AB36*Y40)+(Z36/AB36*Z40)+(AA36/AB36*AA40)</f>
        <v>1078.0675888692792</v>
      </c>
      <c r="AC40" s="37">
        <f>AA40*(1+AC159)-AC162-AC165-AC168</f>
        <v>1058.6661239114674</v>
      </c>
      <c r="AD40" s="37">
        <f>AC40*(1+AD159)-AD162-AD165-AD168</f>
        <v>1050.9958278719087</v>
      </c>
      <c r="AE40" s="37">
        <f>AD40*(1+AE159)-AE162-AE165-AE168</f>
        <v>1043.3701591986319</v>
      </c>
      <c r="AF40" s="37">
        <f>AE40*(1+AF159)-AF162-AF165-AF168</f>
        <v>1035.7909087989137</v>
      </c>
      <c r="AG40" s="38">
        <f>+(AC36/AG36*AC40)+(AD36/AG36*AD40)+(AE36/AG36*AE40)+(AF36/AG36*AF40)</f>
        <v>1047.2091055826593</v>
      </c>
      <c r="AH40" s="37">
        <f>AF40*(1+AH159)-AH162-AH165-AH168</f>
        <v>1028.2558572780856</v>
      </c>
      <c r="AI40" s="37">
        <f>AH40*(1+AI159)-AI162-AI165-AI168</f>
        <v>1020.7682353194355</v>
      </c>
      <c r="AJ40" s="37">
        <f>AI40*(1+AJ159)-AJ162-AJ165-AJ168</f>
        <v>1013.3256007210338</v>
      </c>
      <c r="AK40" s="37">
        <f>AJ40*(1+AK159)-AK162-AK165-AK168</f>
        <v>1005.9280345447727</v>
      </c>
      <c r="AL40" s="38">
        <f>+(AH36/AL36*AH40)+(AI36/AL36*AI40)+(AJ36/AL36*AJ40)+(AK36/AL36*AK40)</f>
        <v>1017.1144258199374</v>
      </c>
    </row>
    <row r="41" spans="1:38" ht="15.75" customHeight="1" x14ac:dyDescent="0.25">
      <c r="A41" s="293"/>
      <c r="B41" s="502" t="s">
        <v>45</v>
      </c>
      <c r="C41" s="503"/>
      <c r="D41" s="305">
        <f t="shared" ref="D41:AB41" si="125">D36/D39</f>
        <v>0.61239935587761718</v>
      </c>
      <c r="E41" s="305">
        <f t="shared" si="125"/>
        <v>0.53518398967075509</v>
      </c>
      <c r="F41" s="305">
        <f t="shared" si="125"/>
        <v>1.1336085879438487</v>
      </c>
      <c r="G41" s="305">
        <f t="shared" si="125"/>
        <v>0.66287276975832043</v>
      </c>
      <c r="H41" s="347">
        <f t="shared" si="125"/>
        <v>2.947264985260404</v>
      </c>
      <c r="I41" s="305">
        <f t="shared" si="125"/>
        <v>0.75033886818027684</v>
      </c>
      <c r="J41" s="305">
        <f t="shared" si="125"/>
        <v>0.28025260283324721</v>
      </c>
      <c r="K41" s="305">
        <f t="shared" si="125"/>
        <v>-0.58057338468121455</v>
      </c>
      <c r="L41" s="47">
        <f t="shared" si="125"/>
        <v>0.22839122908902823</v>
      </c>
      <c r="M41" s="48">
        <f t="shared" si="125"/>
        <v>0.67842808433101753</v>
      </c>
      <c r="N41" s="305">
        <f t="shared" si="125"/>
        <v>0.63158846375205158</v>
      </c>
      <c r="O41" s="305">
        <f t="shared" si="125"/>
        <v>0.64843855012519769</v>
      </c>
      <c r="P41" s="305">
        <f t="shared" si="125"/>
        <v>0.66042635096550462</v>
      </c>
      <c r="Q41" s="305">
        <f t="shared" si="125"/>
        <v>0.75659469671067481</v>
      </c>
      <c r="R41" s="347">
        <f t="shared" si="125"/>
        <v>2.6970113710882391</v>
      </c>
      <c r="S41" s="305">
        <f t="shared" si="125"/>
        <v>0.84875750167339092</v>
      </c>
      <c r="T41" s="305">
        <f t="shared" si="125"/>
        <v>0.73635021255564759</v>
      </c>
      <c r="U41" s="305">
        <f t="shared" si="125"/>
        <v>0.80323797471703884</v>
      </c>
      <c r="V41" s="305">
        <f t="shared" si="125"/>
        <v>0.862906085345861</v>
      </c>
      <c r="W41" s="347">
        <f t="shared" si="125"/>
        <v>3.2512008294496995</v>
      </c>
      <c r="X41" s="305">
        <f t="shared" si="125"/>
        <v>0.99097795645082531</v>
      </c>
      <c r="Y41" s="305">
        <f t="shared" si="125"/>
        <v>0.8531253010624249</v>
      </c>
      <c r="Z41" s="47">
        <f t="shared" si="125"/>
        <v>0.91820541621696883</v>
      </c>
      <c r="AA41" s="47">
        <f t="shared" si="125"/>
        <v>0.986047689103694</v>
      </c>
      <c r="AB41" s="48">
        <f t="shared" si="125"/>
        <v>3.7482956840798076</v>
      </c>
      <c r="AC41" s="47">
        <f t="shared" ref="AC41:AG41" si="126">AC36/AC39</f>
        <v>1.1506328375782675</v>
      </c>
      <c r="AD41" s="47">
        <f t="shared" si="126"/>
        <v>0.99818179639176907</v>
      </c>
      <c r="AE41" s="47">
        <f t="shared" si="126"/>
        <v>1.05030117381453</v>
      </c>
      <c r="AF41" s="47">
        <f t="shared" si="126"/>
        <v>1.1459016928479309</v>
      </c>
      <c r="AG41" s="48">
        <f t="shared" si="126"/>
        <v>4.3449461276764811</v>
      </c>
      <c r="AH41" s="47">
        <f t="shared" ref="AH41:AL41" si="127">AH36/AH39</f>
        <v>1.3073574801943839</v>
      </c>
      <c r="AI41" s="47">
        <f t="shared" si="127"/>
        <v>1.1404455137779337</v>
      </c>
      <c r="AJ41" s="47">
        <f t="shared" si="127"/>
        <v>1.1999237027296188</v>
      </c>
      <c r="AK41" s="47">
        <f t="shared" si="127"/>
        <v>1.2833958999115191</v>
      </c>
      <c r="AL41" s="48">
        <f t="shared" si="127"/>
        <v>4.9310412016830574</v>
      </c>
    </row>
    <row r="42" spans="1:38" x14ac:dyDescent="0.25">
      <c r="A42" s="293"/>
      <c r="B42" s="502" t="s">
        <v>46</v>
      </c>
      <c r="C42" s="503"/>
      <c r="D42" s="305">
        <f t="shared" ref="D42:AB42" si="128">D36/D40</f>
        <v>0.60682942396681061</v>
      </c>
      <c r="E42" s="305">
        <f t="shared" si="128"/>
        <v>0.53026305269049312</v>
      </c>
      <c r="F42" s="305">
        <f t="shared" si="128"/>
        <v>1.1224856909239582</v>
      </c>
      <c r="G42" s="305">
        <f t="shared" si="128"/>
        <v>0.65635470614510849</v>
      </c>
      <c r="H42" s="347">
        <f t="shared" si="128"/>
        <v>2.9185857930587131</v>
      </c>
      <c r="I42" s="305">
        <f t="shared" si="128"/>
        <v>0.74366078925272783</v>
      </c>
      <c r="J42" s="305">
        <f t="shared" si="128"/>
        <v>0.27814008638942922</v>
      </c>
      <c r="K42" s="305">
        <f t="shared" si="128"/>
        <v>-0.58057338468121455</v>
      </c>
      <c r="L42" s="420">
        <f t="shared" si="128"/>
        <v>0.22897145668421143</v>
      </c>
      <c r="M42" s="421">
        <f t="shared" si="128"/>
        <v>0.67028827896806342</v>
      </c>
      <c r="N42" s="305">
        <f t="shared" si="128"/>
        <v>0.63518936191123565</v>
      </c>
      <c r="O42" s="305">
        <f t="shared" si="128"/>
        <v>0.65453411235058168</v>
      </c>
      <c r="P42" s="305">
        <f t="shared" si="128"/>
        <v>0.6694656252694724</v>
      </c>
      <c r="Q42" s="305">
        <f t="shared" si="128"/>
        <v>0.76956842827934269</v>
      </c>
      <c r="R42" s="347">
        <f t="shared" si="128"/>
        <v>2.7285830766566486</v>
      </c>
      <c r="S42" s="305">
        <f t="shared" si="128"/>
        <v>0.86644816150130244</v>
      </c>
      <c r="T42" s="305">
        <f t="shared" si="128"/>
        <v>0.75451931507235848</v>
      </c>
      <c r="U42" s="305">
        <f t="shared" si="128"/>
        <v>0.82616227357534722</v>
      </c>
      <c r="V42" s="305">
        <f t="shared" si="128"/>
        <v>0.89077617109896134</v>
      </c>
      <c r="W42" s="347">
        <f t="shared" si="128"/>
        <v>3.3376810107871941</v>
      </c>
      <c r="X42" s="305">
        <f t="shared" si="128"/>
        <v>1.026783826560195</v>
      </c>
      <c r="Y42" s="305">
        <f t="shared" si="128"/>
        <v>0.8872512204835038</v>
      </c>
      <c r="Z42" s="47">
        <f t="shared" si="128"/>
        <v>0.95849618890305222</v>
      </c>
      <c r="AA42" s="47">
        <f t="shared" si="128"/>
        <v>1.033143545331243</v>
      </c>
      <c r="AB42" s="48">
        <f t="shared" si="128"/>
        <v>3.9054074117069941</v>
      </c>
      <c r="AC42" s="47">
        <f t="shared" ref="AC42:AG42" si="129">AC36/AC40</f>
        <v>1.2100932662147599</v>
      </c>
      <c r="AD42" s="47">
        <f t="shared" si="129"/>
        <v>1.053691455295755</v>
      </c>
      <c r="AE42" s="47">
        <f t="shared" si="129"/>
        <v>1.112859143226602</v>
      </c>
      <c r="AF42" s="47">
        <f t="shared" si="129"/>
        <v>1.218702625772609</v>
      </c>
      <c r="AG42" s="48">
        <f t="shared" si="129"/>
        <v>4.5950280294367394</v>
      </c>
      <c r="AH42" s="47">
        <f t="shared" ref="AH42:AL42" si="130">AH36/AH40</f>
        <v>1.3956348261566536</v>
      </c>
      <c r="AI42" s="47">
        <f t="shared" si="130"/>
        <v>1.2220276453025385</v>
      </c>
      <c r="AJ42" s="47">
        <f t="shared" si="130"/>
        <v>1.2905982139983225</v>
      </c>
      <c r="AK42" s="47">
        <f t="shared" si="130"/>
        <v>1.3855786274476418</v>
      </c>
      <c r="AL42" s="48">
        <f t="shared" si="130"/>
        <v>5.293470574059131</v>
      </c>
    </row>
    <row r="43" spans="1:38" x14ac:dyDescent="0.25">
      <c r="A43" s="293"/>
      <c r="B43" s="254" t="s">
        <v>218</v>
      </c>
      <c r="C43" s="294"/>
      <c r="D43" s="306">
        <f t="shared" ref="D43:AB43" si="131">+D38/D40</f>
        <v>0.74999999999999922</v>
      </c>
      <c r="E43" s="306">
        <f t="shared" si="131"/>
        <v>0.60000000000000009</v>
      </c>
      <c r="F43" s="322">
        <f t="shared" si="131"/>
        <v>0.78</v>
      </c>
      <c r="G43" s="322">
        <f t="shared" si="131"/>
        <v>0.69511774261567683</v>
      </c>
      <c r="H43" s="321">
        <f t="shared" si="131"/>
        <v>2.8336117418099285</v>
      </c>
      <c r="I43" s="306">
        <f t="shared" si="131"/>
        <v>0.79454240134340781</v>
      </c>
      <c r="J43" s="306">
        <f t="shared" si="131"/>
        <v>0.31523672397730074</v>
      </c>
      <c r="K43" s="306">
        <f t="shared" si="131"/>
        <v>-0.46193838254171954</v>
      </c>
      <c r="L43" s="306">
        <f t="shared" si="131"/>
        <v>0.34944249600802868</v>
      </c>
      <c r="M43" s="423">
        <f t="shared" si="131"/>
        <v>0.99051525825411302</v>
      </c>
      <c r="N43" s="306">
        <f t="shared" si="131"/>
        <v>0.72020249689454185</v>
      </c>
      <c r="O43" s="306">
        <f t="shared" si="131"/>
        <v>0.73878946170379467</v>
      </c>
      <c r="P43" s="306">
        <f t="shared" si="131"/>
        <v>0.75254833399420218</v>
      </c>
      <c r="Q43" s="306">
        <f t="shared" si="131"/>
        <v>0.78340612286140465</v>
      </c>
      <c r="R43" s="321">
        <f t="shared" si="131"/>
        <v>2.9956488644404162</v>
      </c>
      <c r="S43" s="306">
        <f t="shared" si="131"/>
        <v>0.95362924591509068</v>
      </c>
      <c r="T43" s="306">
        <f t="shared" si="131"/>
        <v>0.84687368778773497</v>
      </c>
      <c r="U43" s="306">
        <f t="shared" si="131"/>
        <v>0.92477490126284023</v>
      </c>
      <c r="V43" s="306">
        <f t="shared" si="131"/>
        <v>0.98669092144601389</v>
      </c>
      <c r="W43" s="321">
        <f t="shared" si="131"/>
        <v>3.7116595506103836</v>
      </c>
      <c r="X43" s="306">
        <f t="shared" si="131"/>
        <v>1.1183137929605198</v>
      </c>
      <c r="Y43" s="306">
        <f t="shared" si="131"/>
        <v>0.97963358277712875</v>
      </c>
      <c r="Z43" s="241">
        <f t="shared" si="131"/>
        <v>1.0519424776094255</v>
      </c>
      <c r="AA43" s="241">
        <f t="shared" si="131"/>
        <v>1.1279560056695037</v>
      </c>
      <c r="AB43" s="242">
        <f t="shared" si="131"/>
        <v>4.277544254996867</v>
      </c>
      <c r="AC43" s="241">
        <f t="shared" ref="AC43:AG43" si="132">+AC38/AC40</f>
        <v>1.3064599528866445</v>
      </c>
      <c r="AD43" s="241">
        <f t="shared" si="132"/>
        <v>1.151264376442928</v>
      </c>
      <c r="AE43" s="241">
        <f t="shared" si="132"/>
        <v>1.2111084561152614</v>
      </c>
      <c r="AF43" s="241">
        <f t="shared" si="132"/>
        <v>1.3168837950131667</v>
      </c>
      <c r="AG43" s="242">
        <f t="shared" si="132"/>
        <v>4.9853745621944379</v>
      </c>
      <c r="AH43" s="241">
        <f t="shared" ref="AH43:AL43" si="133">+AH38/AH40</f>
        <v>1.4940980523904783</v>
      </c>
      <c r="AI43" s="241">
        <f t="shared" si="133"/>
        <v>1.3213961227992026</v>
      </c>
      <c r="AJ43" s="241">
        <f t="shared" si="133"/>
        <v>1.3908787929086555</v>
      </c>
      <c r="AK43" s="241">
        <f t="shared" si="133"/>
        <v>1.4867509159309544</v>
      </c>
      <c r="AL43" s="242">
        <f t="shared" si="133"/>
        <v>5.6927044098825794</v>
      </c>
    </row>
    <row r="44" spans="1:38" x14ac:dyDescent="0.25">
      <c r="A44" s="293"/>
      <c r="B44" s="428" t="s">
        <v>167</v>
      </c>
      <c r="C44" s="429"/>
      <c r="D44" s="307">
        <v>0.36</v>
      </c>
      <c r="E44" s="307">
        <v>0.36</v>
      </c>
      <c r="F44" s="307">
        <v>0.36</v>
      </c>
      <c r="G44" s="307">
        <v>0.41</v>
      </c>
      <c r="H44" s="396">
        <f>+SUM(D44:G44)</f>
        <v>1.49</v>
      </c>
      <c r="I44" s="307">
        <v>0.41</v>
      </c>
      <c r="J44" s="307">
        <v>0.41</v>
      </c>
      <c r="K44" s="307">
        <v>0.41</v>
      </c>
      <c r="L44" s="243">
        <f>K44*1.1</f>
        <v>0.45100000000000001</v>
      </c>
      <c r="M44" s="163">
        <f>+SUM(I44:L44)</f>
        <v>1.681</v>
      </c>
      <c r="N44" s="243">
        <f>+L44</f>
        <v>0.45100000000000001</v>
      </c>
      <c r="O44" s="243">
        <f>+N44</f>
        <v>0.45100000000000001</v>
      </c>
      <c r="P44" s="243">
        <f>+O44</f>
        <v>0.45100000000000001</v>
      </c>
      <c r="Q44" s="243">
        <f>1.05*P44</f>
        <v>0.47355000000000003</v>
      </c>
      <c r="R44" s="163">
        <f>+SUM(N44:Q44)</f>
        <v>1.8265500000000001</v>
      </c>
      <c r="S44" s="243">
        <f>+Q44</f>
        <v>0.47355000000000003</v>
      </c>
      <c r="T44" s="243">
        <f>+S44</f>
        <v>0.47355000000000003</v>
      </c>
      <c r="U44" s="243">
        <f>+T44</f>
        <v>0.47355000000000003</v>
      </c>
      <c r="V44" s="243">
        <f>1.05*U44</f>
        <v>0.49722750000000004</v>
      </c>
      <c r="W44" s="163">
        <f>+SUM(S44:V44)</f>
        <v>1.9178775000000003</v>
      </c>
      <c r="X44" s="243">
        <f>+V44</f>
        <v>0.49722750000000004</v>
      </c>
      <c r="Y44" s="243">
        <f>+X44</f>
        <v>0.49722750000000004</v>
      </c>
      <c r="Z44" s="243">
        <f>+Y44</f>
        <v>0.49722750000000004</v>
      </c>
      <c r="AA44" s="243">
        <f>1.05*Z44</f>
        <v>0.52208887500000012</v>
      </c>
      <c r="AB44" s="163">
        <f>+SUM(X44:AA44)</f>
        <v>2.0137713750000001</v>
      </c>
      <c r="AC44" s="243">
        <f>+AA44</f>
        <v>0.52208887500000012</v>
      </c>
      <c r="AD44" s="243">
        <f>+AC44</f>
        <v>0.52208887500000012</v>
      </c>
      <c r="AE44" s="243">
        <f>+AD44</f>
        <v>0.52208887500000012</v>
      </c>
      <c r="AF44" s="243">
        <f>1.05*AE44</f>
        <v>0.5481933187500001</v>
      </c>
      <c r="AG44" s="163">
        <f>+SUM(AC44:AF44)</f>
        <v>2.1144599437500005</v>
      </c>
      <c r="AH44" s="243">
        <f>+AF44</f>
        <v>0.5481933187500001</v>
      </c>
      <c r="AI44" s="243">
        <f>+AH44</f>
        <v>0.5481933187500001</v>
      </c>
      <c r="AJ44" s="243">
        <f>+AI44</f>
        <v>0.5481933187500001</v>
      </c>
      <c r="AK44" s="243">
        <f>1.05*AJ44</f>
        <v>0.57560298468750015</v>
      </c>
      <c r="AL44" s="163">
        <f>+SUM(AH44:AK44)</f>
        <v>2.2201829409375007</v>
      </c>
    </row>
    <row r="45" spans="1:38" x14ac:dyDescent="0.25">
      <c r="A45" s="293"/>
      <c r="B45" s="292" t="s">
        <v>57</v>
      </c>
      <c r="C45" s="59"/>
      <c r="D45" s="397"/>
      <c r="E45" s="370"/>
      <c r="F45" s="369"/>
      <c r="G45" s="370"/>
      <c r="H45" s="371"/>
      <c r="I45" s="370"/>
      <c r="J45" s="372"/>
      <c r="K45" s="372"/>
      <c r="L45" s="397"/>
      <c r="M45" s="422"/>
      <c r="N45" s="334"/>
      <c r="O45" s="59"/>
      <c r="P45" s="59"/>
      <c r="Q45" s="244"/>
      <c r="R45" s="14"/>
      <c r="S45" s="59"/>
      <c r="T45" s="59"/>
      <c r="U45" s="59"/>
      <c r="V45" s="244"/>
      <c r="W45" s="14"/>
      <c r="X45" s="59"/>
      <c r="Y45" s="59"/>
      <c r="Z45" s="59"/>
      <c r="AA45" s="244"/>
      <c r="AB45" s="14"/>
      <c r="AC45" s="59"/>
      <c r="AD45" s="59"/>
      <c r="AE45" s="59"/>
      <c r="AF45" s="244"/>
      <c r="AG45" s="14"/>
      <c r="AH45" s="59"/>
      <c r="AI45" s="59"/>
      <c r="AJ45" s="59"/>
      <c r="AK45" s="244"/>
      <c r="AL45" s="14"/>
    </row>
    <row r="46" spans="1:38" ht="15.75" x14ac:dyDescent="0.25">
      <c r="A46" s="293"/>
      <c r="B46" s="512" t="s">
        <v>101</v>
      </c>
      <c r="C46" s="513"/>
      <c r="D46" s="34" t="s">
        <v>110</v>
      </c>
      <c r="E46" s="34" t="s">
        <v>282</v>
      </c>
      <c r="F46" s="34" t="s">
        <v>284</v>
      </c>
      <c r="G46" s="34" t="s">
        <v>124</v>
      </c>
      <c r="H46" s="101" t="s">
        <v>124</v>
      </c>
      <c r="I46" s="34" t="s">
        <v>125</v>
      </c>
      <c r="J46" s="34" t="s">
        <v>126</v>
      </c>
      <c r="K46" s="34" t="s">
        <v>127</v>
      </c>
      <c r="L46" s="36" t="s">
        <v>128</v>
      </c>
      <c r="M46" s="104" t="s">
        <v>128</v>
      </c>
      <c r="N46" s="36" t="s">
        <v>129</v>
      </c>
      <c r="O46" s="36" t="s">
        <v>130</v>
      </c>
      <c r="P46" s="36" t="s">
        <v>131</v>
      </c>
      <c r="Q46" s="36" t="s">
        <v>132</v>
      </c>
      <c r="R46" s="104" t="s">
        <v>132</v>
      </c>
      <c r="S46" s="36" t="s">
        <v>133</v>
      </c>
      <c r="T46" s="36" t="s">
        <v>134</v>
      </c>
      <c r="U46" s="36" t="s">
        <v>135</v>
      </c>
      <c r="V46" s="36" t="s">
        <v>136</v>
      </c>
      <c r="W46" s="104" t="s">
        <v>136</v>
      </c>
      <c r="X46" s="36" t="s">
        <v>137</v>
      </c>
      <c r="Y46" s="36" t="s">
        <v>138</v>
      </c>
      <c r="Z46" s="36" t="s">
        <v>139</v>
      </c>
      <c r="AA46" s="36" t="s">
        <v>140</v>
      </c>
      <c r="AB46" s="104" t="s">
        <v>140</v>
      </c>
      <c r="AC46" s="36" t="s">
        <v>286</v>
      </c>
      <c r="AD46" s="36" t="s">
        <v>287</v>
      </c>
      <c r="AE46" s="36" t="s">
        <v>288</v>
      </c>
      <c r="AF46" s="36" t="s">
        <v>289</v>
      </c>
      <c r="AG46" s="104" t="s">
        <v>289</v>
      </c>
      <c r="AH46" s="36" t="s">
        <v>319</v>
      </c>
      <c r="AI46" s="36" t="s">
        <v>320</v>
      </c>
      <c r="AJ46" s="36" t="s">
        <v>321</v>
      </c>
      <c r="AK46" s="36" t="s">
        <v>322</v>
      </c>
      <c r="AL46" s="104" t="s">
        <v>322</v>
      </c>
    </row>
    <row r="47" spans="1:38" ht="17.25" x14ac:dyDescent="0.4">
      <c r="A47" s="293"/>
      <c r="B47" s="506"/>
      <c r="C47" s="507"/>
      <c r="D47" s="35" t="s">
        <v>123</v>
      </c>
      <c r="E47" s="35" t="s">
        <v>281</v>
      </c>
      <c r="F47" s="35" t="s">
        <v>285</v>
      </c>
      <c r="G47" s="35" t="s">
        <v>295</v>
      </c>
      <c r="H47" s="102" t="s">
        <v>296</v>
      </c>
      <c r="I47" s="35" t="s">
        <v>297</v>
      </c>
      <c r="J47" s="35" t="s">
        <v>298</v>
      </c>
      <c r="K47" s="35" t="s">
        <v>299</v>
      </c>
      <c r="L47" s="33" t="s">
        <v>141</v>
      </c>
      <c r="M47" s="105" t="s">
        <v>142</v>
      </c>
      <c r="N47" s="33" t="s">
        <v>143</v>
      </c>
      <c r="O47" s="33" t="s">
        <v>144</v>
      </c>
      <c r="P47" s="33" t="s">
        <v>145</v>
      </c>
      <c r="Q47" s="33" t="s">
        <v>146</v>
      </c>
      <c r="R47" s="105" t="s">
        <v>147</v>
      </c>
      <c r="S47" s="33" t="s">
        <v>148</v>
      </c>
      <c r="T47" s="33" t="s">
        <v>149</v>
      </c>
      <c r="U47" s="33" t="s">
        <v>150</v>
      </c>
      <c r="V47" s="33" t="s">
        <v>151</v>
      </c>
      <c r="W47" s="105" t="s">
        <v>152</v>
      </c>
      <c r="X47" s="33" t="s">
        <v>153</v>
      </c>
      <c r="Y47" s="33" t="s">
        <v>154</v>
      </c>
      <c r="Z47" s="33" t="s">
        <v>155</v>
      </c>
      <c r="AA47" s="33" t="s">
        <v>156</v>
      </c>
      <c r="AB47" s="105" t="s">
        <v>157</v>
      </c>
      <c r="AC47" s="33" t="s">
        <v>290</v>
      </c>
      <c r="AD47" s="33" t="s">
        <v>291</v>
      </c>
      <c r="AE47" s="33" t="s">
        <v>292</v>
      </c>
      <c r="AF47" s="33" t="s">
        <v>293</v>
      </c>
      <c r="AG47" s="105" t="s">
        <v>294</v>
      </c>
      <c r="AH47" s="33" t="s">
        <v>323</v>
      </c>
      <c r="AI47" s="33" t="s">
        <v>324</v>
      </c>
      <c r="AJ47" s="33" t="s">
        <v>325</v>
      </c>
      <c r="AK47" s="33" t="s">
        <v>326</v>
      </c>
      <c r="AL47" s="105" t="s">
        <v>327</v>
      </c>
    </row>
    <row r="48" spans="1:38" ht="18" x14ac:dyDescent="0.4">
      <c r="A48" s="293"/>
      <c r="B48" s="498" t="s">
        <v>168</v>
      </c>
      <c r="C48" s="499"/>
      <c r="D48" s="35"/>
      <c r="E48" s="35"/>
      <c r="F48" s="35"/>
      <c r="G48" s="35"/>
      <c r="H48" s="102"/>
      <c r="I48" s="35"/>
      <c r="J48" s="35"/>
      <c r="K48" s="35"/>
      <c r="L48" s="33"/>
      <c r="M48" s="105"/>
      <c r="N48" s="33"/>
      <c r="O48" s="33"/>
      <c r="P48" s="33"/>
      <c r="Q48" s="33"/>
      <c r="R48" s="105"/>
      <c r="S48" s="33"/>
      <c r="T48" s="33"/>
      <c r="U48" s="33"/>
      <c r="V48" s="33"/>
      <c r="W48" s="105"/>
      <c r="X48" s="33"/>
      <c r="Y48" s="33"/>
      <c r="Z48" s="33"/>
      <c r="AA48" s="33"/>
      <c r="AB48" s="105"/>
      <c r="AC48" s="33"/>
      <c r="AD48" s="33"/>
      <c r="AE48" s="33"/>
      <c r="AF48" s="33"/>
      <c r="AG48" s="105"/>
      <c r="AH48" s="33"/>
      <c r="AI48" s="33"/>
      <c r="AJ48" s="33"/>
      <c r="AK48" s="33"/>
      <c r="AL48" s="105"/>
    </row>
    <row r="49" spans="1:38" s="20" customFormat="1" outlineLevel="1" x14ac:dyDescent="0.25">
      <c r="A49" s="308"/>
      <c r="B49" s="504" t="s">
        <v>170</v>
      </c>
      <c r="C49" s="505"/>
      <c r="D49" s="44">
        <v>9777</v>
      </c>
      <c r="E49" s="44">
        <v>9776</v>
      </c>
      <c r="F49" s="325">
        <v>9857</v>
      </c>
      <c r="G49" s="44">
        <v>9974</v>
      </c>
      <c r="H49" s="196"/>
      <c r="I49" s="44">
        <v>10020</v>
      </c>
      <c r="J49" s="44">
        <v>10051</v>
      </c>
      <c r="K49" s="44">
        <v>10017</v>
      </c>
      <c r="L49" s="44">
        <f>+K49+L50</f>
        <v>10086</v>
      </c>
      <c r="M49" s="196"/>
      <c r="N49" s="44">
        <f>+L49+N50</f>
        <v>10118</v>
      </c>
      <c r="O49" s="44">
        <f>+N49+O50</f>
        <v>10150</v>
      </c>
      <c r="P49" s="44">
        <f t="shared" ref="P49" si="134">+O49+P50</f>
        <v>10182</v>
      </c>
      <c r="Q49" s="44">
        <f t="shared" ref="Q49" si="135">+P49+Q50</f>
        <v>10214</v>
      </c>
      <c r="R49" s="196"/>
      <c r="S49" s="44">
        <f>+Q49+S50</f>
        <v>10256</v>
      </c>
      <c r="T49" s="44">
        <f>+S49+T50</f>
        <v>10298</v>
      </c>
      <c r="U49" s="44">
        <f t="shared" ref="U49" si="136">+T49+U50</f>
        <v>10340</v>
      </c>
      <c r="V49" s="44">
        <f t="shared" ref="V49" si="137">+U49+V50</f>
        <v>10382</v>
      </c>
      <c r="W49" s="196"/>
      <c r="X49" s="44">
        <f>+V49+X50</f>
        <v>10437</v>
      </c>
      <c r="Y49" s="44">
        <f>+X49+Y50</f>
        <v>10492</v>
      </c>
      <c r="Z49" s="44">
        <f t="shared" ref="Z49" si="138">+Y49+Z50</f>
        <v>10547</v>
      </c>
      <c r="AA49" s="44">
        <f t="shared" ref="AA49" si="139">+Z49+AA50</f>
        <v>10602</v>
      </c>
      <c r="AB49" s="196"/>
      <c r="AC49" s="44">
        <f>+AA49+AC50</f>
        <v>10664</v>
      </c>
      <c r="AD49" s="44">
        <f>+AC49+AD50</f>
        <v>10726</v>
      </c>
      <c r="AE49" s="44">
        <f t="shared" ref="AE49" si="140">+AD49+AE50</f>
        <v>10788</v>
      </c>
      <c r="AF49" s="44">
        <f t="shared" ref="AF49" si="141">+AE49+AF50</f>
        <v>10850</v>
      </c>
      <c r="AG49" s="196"/>
      <c r="AH49" s="44">
        <f>+AF49+AH50</f>
        <v>10912</v>
      </c>
      <c r="AI49" s="44">
        <f>+AH49+AI50</f>
        <v>10974</v>
      </c>
      <c r="AJ49" s="44">
        <f t="shared" ref="AJ49" si="142">+AI49+AJ50</f>
        <v>11036</v>
      </c>
      <c r="AK49" s="44">
        <f t="shared" ref="AK49" si="143">+AJ49+AK50</f>
        <v>11098</v>
      </c>
      <c r="AL49" s="196"/>
    </row>
    <row r="50" spans="1:38" outlineLevel="1" x14ac:dyDescent="0.25">
      <c r="A50" s="293"/>
      <c r="B50" s="50" t="s">
        <v>175</v>
      </c>
      <c r="C50" s="83"/>
      <c r="D50" s="295">
        <f>+D49-9690</f>
        <v>87</v>
      </c>
      <c r="E50" s="295">
        <f>E49-D49</f>
        <v>-1</v>
      </c>
      <c r="F50" s="295">
        <f t="shared" ref="F50:G50" si="144">F49-E49</f>
        <v>81</v>
      </c>
      <c r="G50" s="295">
        <f t="shared" si="144"/>
        <v>117</v>
      </c>
      <c r="H50" s="333">
        <f>+SUM(D50:G50)</f>
        <v>284</v>
      </c>
      <c r="I50" s="295">
        <f>I49-G49</f>
        <v>46</v>
      </c>
      <c r="J50" s="295">
        <f t="shared" ref="J50" si="145">J49-I49</f>
        <v>31</v>
      </c>
      <c r="K50" s="295">
        <f>K49-J49</f>
        <v>-34</v>
      </c>
      <c r="L50" s="478">
        <v>69</v>
      </c>
      <c r="M50" s="55">
        <f>+SUM(I50:L50)</f>
        <v>112</v>
      </c>
      <c r="N50" s="478">
        <v>32</v>
      </c>
      <c r="O50" s="478">
        <v>32</v>
      </c>
      <c r="P50" s="478">
        <v>32</v>
      </c>
      <c r="Q50" s="478">
        <v>32</v>
      </c>
      <c r="R50" s="55">
        <f>+SUM(N50:Q50)</f>
        <v>128</v>
      </c>
      <c r="S50" s="478">
        <v>42</v>
      </c>
      <c r="T50" s="478">
        <v>42</v>
      </c>
      <c r="U50" s="478">
        <v>42</v>
      </c>
      <c r="V50" s="478">
        <v>42</v>
      </c>
      <c r="W50" s="55">
        <f>+SUM(S50:V50)</f>
        <v>168</v>
      </c>
      <c r="X50" s="478">
        <v>55</v>
      </c>
      <c r="Y50" s="478">
        <v>55</v>
      </c>
      <c r="Z50" s="478">
        <v>55</v>
      </c>
      <c r="AA50" s="478">
        <v>55</v>
      </c>
      <c r="AB50" s="55">
        <f>+SUM(X50:AA50)</f>
        <v>220</v>
      </c>
      <c r="AC50" s="478">
        <v>62</v>
      </c>
      <c r="AD50" s="478">
        <v>62</v>
      </c>
      <c r="AE50" s="478">
        <v>62</v>
      </c>
      <c r="AF50" s="478">
        <v>62</v>
      </c>
      <c r="AG50" s="55">
        <f>+SUM(AC50:AF50)</f>
        <v>248</v>
      </c>
      <c r="AH50" s="478">
        <f>AVERAGE(AC50,AD50,AE50,AF50)</f>
        <v>62</v>
      </c>
      <c r="AI50" s="478">
        <f>AVERAGE(AD50,AE50,AF50,AH50)</f>
        <v>62</v>
      </c>
      <c r="AJ50" s="478">
        <f>AVERAGE(AE50,AF50,AH50,AI50)</f>
        <v>62</v>
      </c>
      <c r="AK50" s="478">
        <f>AVERAGE(AF50,AH50,AI50,AJ50)</f>
        <v>62</v>
      </c>
      <c r="AL50" s="55">
        <f>+SUM(AH50:AK50)</f>
        <v>248</v>
      </c>
    </row>
    <row r="51" spans="1:38" s="204" customFormat="1" outlineLevel="1" x14ac:dyDescent="0.25">
      <c r="A51" s="312"/>
      <c r="B51" s="205" t="s">
        <v>176</v>
      </c>
      <c r="C51" s="206"/>
      <c r="D51" s="208">
        <v>9527</v>
      </c>
      <c r="E51" s="208">
        <v>9499</v>
      </c>
      <c r="F51" s="208">
        <v>9594</v>
      </c>
      <c r="G51" s="208">
        <v>9690</v>
      </c>
      <c r="H51" s="209"/>
      <c r="I51" s="208">
        <f>D49</f>
        <v>9777</v>
      </c>
      <c r="J51" s="208">
        <f>E49</f>
        <v>9776</v>
      </c>
      <c r="K51" s="208">
        <f>F49</f>
        <v>9857</v>
      </c>
      <c r="L51" s="208">
        <f>G49</f>
        <v>9974</v>
      </c>
      <c r="M51" s="373"/>
      <c r="N51" s="208">
        <f>I49</f>
        <v>10020</v>
      </c>
      <c r="O51" s="208">
        <f>J49</f>
        <v>10051</v>
      </c>
      <c r="P51" s="208">
        <f>K49</f>
        <v>10017</v>
      </c>
      <c r="Q51" s="208">
        <f>L49</f>
        <v>10086</v>
      </c>
      <c r="R51" s="209"/>
      <c r="S51" s="208">
        <f>N49</f>
        <v>10118</v>
      </c>
      <c r="T51" s="208">
        <f>O49</f>
        <v>10150</v>
      </c>
      <c r="U51" s="208">
        <f>P49</f>
        <v>10182</v>
      </c>
      <c r="V51" s="208">
        <f>Q49</f>
        <v>10214</v>
      </c>
      <c r="W51" s="209"/>
      <c r="X51" s="208">
        <f>+AVERAGE(X49,V49,U49,T49)</f>
        <v>10364.25</v>
      </c>
      <c r="Y51" s="208">
        <f>+AVERAGE(Y49,X49,V49,U49)</f>
        <v>10412.75</v>
      </c>
      <c r="Z51" s="208">
        <f>+AVERAGE(Z49,Y49,X49,V49)</f>
        <v>10464.5</v>
      </c>
      <c r="AA51" s="208">
        <f>+AVERAGE(AA49,Z49,Y49,X49)</f>
        <v>10519.5</v>
      </c>
      <c r="AB51" s="209"/>
      <c r="AC51" s="208">
        <f>+AVERAGE(AC49,AA49,Z49,Y49)</f>
        <v>10576.25</v>
      </c>
      <c r="AD51" s="208">
        <f>+AVERAGE(AD49,AC49,AA49,Z49)</f>
        <v>10634.75</v>
      </c>
      <c r="AE51" s="208">
        <f>+AVERAGE(AE49,AD49,AC49,AA49)</f>
        <v>10695</v>
      </c>
      <c r="AF51" s="208">
        <f>+AVERAGE(AF49,AE49,AD49,AC49)</f>
        <v>10757</v>
      </c>
      <c r="AG51" s="209"/>
      <c r="AH51" s="208">
        <f>+AVERAGE(AH49,AF49,AE49,AD49)</f>
        <v>10819</v>
      </c>
      <c r="AI51" s="208">
        <f>+AVERAGE(AI49,AH49,AF49,AE49)</f>
        <v>10881</v>
      </c>
      <c r="AJ51" s="208">
        <f>+AVERAGE(AJ49,AI49,AH49,AF49)</f>
        <v>10943</v>
      </c>
      <c r="AK51" s="208">
        <f>+AVERAGE(AK49,AJ49,AI49,AH49)</f>
        <v>11005</v>
      </c>
      <c r="AL51" s="209"/>
    </row>
    <row r="52" spans="1:38" s="204" customFormat="1" outlineLevel="1" x14ac:dyDescent="0.25">
      <c r="A52" s="312"/>
      <c r="B52" s="205" t="s">
        <v>177</v>
      </c>
      <c r="C52" s="206"/>
      <c r="D52" s="210">
        <v>0.42069471068107506</v>
      </c>
      <c r="E52" s="210">
        <v>0.39562181698744753</v>
      </c>
      <c r="F52" s="210">
        <v>0.42259741164000009</v>
      </c>
      <c r="G52" s="210">
        <v>0.41931398367073175</v>
      </c>
      <c r="H52" s="411"/>
      <c r="I52" s="210">
        <f>+D52*(1+I55)</f>
        <v>0.44593639332193957</v>
      </c>
      <c r="J52" s="210">
        <f>+E52*(1+J55)</f>
        <v>0.38375316247782409</v>
      </c>
      <c r="K52" s="210">
        <f t="shared" ref="K52" si="146">+F52*(1+K55)</f>
        <v>0.24933247286760007</v>
      </c>
      <c r="L52" s="210">
        <f>+G52*(1+L55)</f>
        <v>0.36647978807926657</v>
      </c>
      <c r="M52" s="412"/>
      <c r="N52" s="210">
        <f>+I52*(1+N55)</f>
        <v>0.41026148185618444</v>
      </c>
      <c r="O52" s="210">
        <f>+J52*(1+O55)</f>
        <v>0.42596601035038478</v>
      </c>
      <c r="P52" s="210">
        <f t="shared" ref="P52" si="147">+K52*(1+P55)</f>
        <v>0.4238652038749201</v>
      </c>
      <c r="Q52" s="210">
        <f t="shared" ref="Q52" si="148">+L52*(1+Q55)</f>
        <v>0.4434405435759125</v>
      </c>
      <c r="R52" s="209"/>
      <c r="S52" s="210">
        <f>+N52*(1+S55)</f>
        <v>0.47180070413461206</v>
      </c>
      <c r="T52" s="210">
        <f>+O52*(1+T55)</f>
        <v>0.44726431086790402</v>
      </c>
      <c r="U52" s="210">
        <f t="shared" ref="U52" si="149">+P52*(1+U55)</f>
        <v>0.44081981202991694</v>
      </c>
      <c r="V52" s="210">
        <f t="shared" ref="V52" si="150">+Q52*(1+V55)</f>
        <v>0.46302202541955056</v>
      </c>
      <c r="W52" s="209"/>
      <c r="X52" s="210">
        <f>+S52*(1+X55)</f>
        <v>0.49067273229999658</v>
      </c>
      <c r="Y52" s="210">
        <f>+T52*(1+Y55)</f>
        <v>0.46515488330262023</v>
      </c>
      <c r="Z52" s="210">
        <f t="shared" ref="Z52" si="151">+U52*(1+Z55)</f>
        <v>0.45845260451111364</v>
      </c>
      <c r="AA52" s="210">
        <f t="shared" ref="AA52" si="152">+V52*(1+AA55)</f>
        <v>0.48154290643633263</v>
      </c>
      <c r="AB52" s="209"/>
      <c r="AC52" s="210">
        <f>+X52*(1+AC55)</f>
        <v>0.51029964159199648</v>
      </c>
      <c r="AD52" s="210">
        <f>+Y52*(1+AD55)</f>
        <v>0.48376107863472506</v>
      </c>
      <c r="AE52" s="210">
        <f t="shared" ref="AE52" si="153">+Z52*(1+AE55)</f>
        <v>0.47679070869155821</v>
      </c>
      <c r="AF52" s="210">
        <f t="shared" ref="AF52" si="154">+AA52*(1+AF55)</f>
        <v>0.50080462269378601</v>
      </c>
      <c r="AG52" s="209"/>
      <c r="AH52" s="210">
        <f>+AC52*(1+AH55)</f>
        <v>0.53071162725567633</v>
      </c>
      <c r="AI52" s="210">
        <f>+AD52*(1+AI55)</f>
        <v>0.50311152178011409</v>
      </c>
      <c r="AJ52" s="210">
        <f t="shared" ref="AJ52" si="155">+AE52*(1+AJ55)</f>
        <v>0.49586233703922056</v>
      </c>
      <c r="AK52" s="210">
        <f t="shared" ref="AK52" si="156">+AF52*(1+AK55)</f>
        <v>0.5208368076015375</v>
      </c>
      <c r="AL52" s="209"/>
    </row>
    <row r="53" spans="1:38" outlineLevel="1" x14ac:dyDescent="0.25">
      <c r="A53" s="293"/>
      <c r="B53" s="50" t="s">
        <v>173</v>
      </c>
      <c r="C53" s="183"/>
      <c r="D53" s="327">
        <v>0.04</v>
      </c>
      <c r="E53" s="327">
        <v>0</v>
      </c>
      <c r="F53" s="327">
        <v>0.03</v>
      </c>
      <c r="G53" s="327">
        <v>0.03</v>
      </c>
      <c r="H53" s="363"/>
      <c r="I53" s="327">
        <v>0.02</v>
      </c>
      <c r="J53" s="327">
        <v>-7.0000000000000007E-2</v>
      </c>
      <c r="K53" s="327">
        <v>-0.53</v>
      </c>
      <c r="L53" s="63"/>
      <c r="M53" s="363"/>
      <c r="N53" s="63"/>
      <c r="O53" s="63"/>
      <c r="P53" s="63"/>
      <c r="Q53" s="63"/>
      <c r="R53" s="61"/>
      <c r="S53" s="63"/>
      <c r="T53" s="63"/>
      <c r="U53" s="63"/>
      <c r="V53" s="63"/>
      <c r="W53" s="61"/>
      <c r="X53" s="63"/>
      <c r="Y53" s="63"/>
      <c r="Z53" s="63"/>
      <c r="AA53" s="63"/>
      <c r="AB53" s="61"/>
      <c r="AC53" s="63"/>
      <c r="AD53" s="63"/>
      <c r="AE53" s="63"/>
      <c r="AF53" s="63"/>
      <c r="AG53" s="61"/>
      <c r="AH53" s="63"/>
      <c r="AI53" s="63"/>
      <c r="AJ53" s="63"/>
      <c r="AK53" s="63"/>
      <c r="AL53" s="61"/>
    </row>
    <row r="54" spans="1:38" outlineLevel="1" x14ac:dyDescent="0.25">
      <c r="A54" s="293"/>
      <c r="B54" s="50" t="s">
        <v>172</v>
      </c>
      <c r="C54" s="183"/>
      <c r="D54" s="436">
        <v>0</v>
      </c>
      <c r="E54" s="436">
        <v>0.04</v>
      </c>
      <c r="F54" s="436">
        <v>0.04</v>
      </c>
      <c r="G54" s="436">
        <v>0.03</v>
      </c>
      <c r="H54" s="413"/>
      <c r="I54" s="436">
        <v>0.03</v>
      </c>
      <c r="J54" s="436">
        <v>0.05</v>
      </c>
      <c r="K54" s="436">
        <v>0.27</v>
      </c>
      <c r="L54" s="198"/>
      <c r="M54" s="413"/>
      <c r="N54" s="198"/>
      <c r="O54" s="198"/>
      <c r="P54" s="198"/>
      <c r="Q54" s="198"/>
      <c r="R54" s="199"/>
      <c r="S54" s="198"/>
      <c r="T54" s="198"/>
      <c r="U54" s="198"/>
      <c r="V54" s="198"/>
      <c r="W54" s="199"/>
      <c r="X54" s="198"/>
      <c r="Y54" s="198"/>
      <c r="Z54" s="198"/>
      <c r="AA54" s="198"/>
      <c r="AB54" s="199"/>
      <c r="AC54" s="198"/>
      <c r="AD54" s="198"/>
      <c r="AE54" s="198"/>
      <c r="AF54" s="198"/>
      <c r="AG54" s="199"/>
      <c r="AH54" s="198"/>
      <c r="AI54" s="198"/>
      <c r="AJ54" s="198"/>
      <c r="AK54" s="198"/>
      <c r="AL54" s="199"/>
    </row>
    <row r="55" spans="1:38" s="20" customFormat="1" outlineLevel="1" x14ac:dyDescent="0.25">
      <c r="A55" s="308"/>
      <c r="B55" s="95" t="s">
        <v>174</v>
      </c>
      <c r="C55" s="85"/>
      <c r="D55" s="437">
        <v>0.04</v>
      </c>
      <c r="E55" s="437">
        <v>4.2999999999999997E-2</v>
      </c>
      <c r="F55" s="438">
        <v>7.0000000000000007E-2</v>
      </c>
      <c r="G55" s="437">
        <v>0.06</v>
      </c>
      <c r="H55" s="381"/>
      <c r="I55" s="437">
        <v>0.06</v>
      </c>
      <c r="J55" s="437">
        <v>-0.03</v>
      </c>
      <c r="K55" s="437">
        <v>-0.41</v>
      </c>
      <c r="L55" s="410">
        <v>-0.12600151115626387</v>
      </c>
      <c r="M55" s="414"/>
      <c r="N55" s="480">
        <v>-0.08</v>
      </c>
      <c r="O55" s="481">
        <v>0.11</v>
      </c>
      <c r="P55" s="481">
        <v>0.7</v>
      </c>
      <c r="Q55" s="481">
        <v>0.21</v>
      </c>
      <c r="R55" s="200"/>
      <c r="S55" s="202">
        <v>0.15</v>
      </c>
      <c r="T55" s="202">
        <v>0.05</v>
      </c>
      <c r="U55" s="202">
        <v>0.04</v>
      </c>
      <c r="V55" s="202">
        <v>4.4158077395748827E-2</v>
      </c>
      <c r="W55" s="200"/>
      <c r="X55" s="202">
        <v>0.04</v>
      </c>
      <c r="Y55" s="202">
        <v>0.04</v>
      </c>
      <c r="Z55" s="202">
        <v>0.04</v>
      </c>
      <c r="AA55" s="202">
        <v>0.04</v>
      </c>
      <c r="AB55" s="200"/>
      <c r="AC55" s="202">
        <f>AVERAGE(AA55,Z55,Y55,X55)</f>
        <v>0.04</v>
      </c>
      <c r="AD55" s="202">
        <f>AVERAGE(AC55,AA55,Z55,Y55)</f>
        <v>0.04</v>
      </c>
      <c r="AE55" s="202">
        <f>AVERAGE(AD55,AC55,AA55,Z55)</f>
        <v>0.04</v>
      </c>
      <c r="AF55" s="202">
        <f>AVERAGE(AE55,AD55,AC55,AA55)</f>
        <v>0.04</v>
      </c>
      <c r="AG55" s="200"/>
      <c r="AH55" s="202">
        <v>0.04</v>
      </c>
      <c r="AI55" s="202">
        <v>0.04</v>
      </c>
      <c r="AJ55" s="202">
        <v>0.04</v>
      </c>
      <c r="AK55" s="202">
        <v>0.04</v>
      </c>
      <c r="AL55" s="200"/>
    </row>
    <row r="56" spans="1:38" ht="17.25" outlineLevel="1" x14ac:dyDescent="0.4">
      <c r="A56" s="293"/>
      <c r="B56" s="184" t="s">
        <v>205</v>
      </c>
      <c r="C56" s="183"/>
      <c r="D56" s="68">
        <v>84</v>
      </c>
      <c r="E56" s="68">
        <v>92</v>
      </c>
      <c r="F56" s="68">
        <v>128</v>
      </c>
      <c r="G56" s="68">
        <f>AVERAGE(D56:F56)</f>
        <v>101.33333333333333</v>
      </c>
      <c r="H56" s="18"/>
      <c r="I56" s="68">
        <v>111</v>
      </c>
      <c r="J56" s="68">
        <v>112</v>
      </c>
      <c r="K56" s="68">
        <v>111</v>
      </c>
      <c r="L56" s="68">
        <f>AVERAGE(K56,J56,I56)</f>
        <v>111.33333333333333</v>
      </c>
      <c r="M56" s="18"/>
      <c r="N56" s="68">
        <f>AVERAGE(L56,K56,J56,I56)</f>
        <v>111.33333333333333</v>
      </c>
      <c r="O56" s="68">
        <f>AVERAGE(N56,L56,K56,J56)</f>
        <v>111.41666666666666</v>
      </c>
      <c r="P56" s="68">
        <f>AVERAGE(O56,N56,L56,K56)</f>
        <v>111.27083333333333</v>
      </c>
      <c r="Q56" s="68">
        <f>AVERAGE(P56,O56,N56,L56)</f>
        <v>111.33854166666666</v>
      </c>
      <c r="R56" s="18"/>
      <c r="S56" s="68">
        <f>AVERAGE(Q56,P56,O56,N56)</f>
        <v>111.33984374999999</v>
      </c>
      <c r="T56" s="68">
        <f>AVERAGE(S56,Q56,P56,O56)</f>
        <v>111.34147135416666</v>
      </c>
      <c r="U56" s="68">
        <f>AVERAGE(T56,S56,Q56,P56)</f>
        <v>111.32267252604164</v>
      </c>
      <c r="V56" s="68">
        <f>AVERAGE(U56,T56,S56,Q56)</f>
        <v>111.33563232421875</v>
      </c>
      <c r="W56" s="18"/>
      <c r="X56" s="68">
        <f>AVERAGE(V56,U56,T56,S56)</f>
        <v>111.33490498860675</v>
      </c>
      <c r="Y56" s="68">
        <f>AVERAGE(X56,V56,U56,T56)</f>
        <v>111.33367029825845</v>
      </c>
      <c r="Z56" s="68">
        <f>AVERAGE(Y56,X56,V56,U56)</f>
        <v>111.3317200342814</v>
      </c>
      <c r="AA56" s="68">
        <f>AVERAGE(Z56,Y56,X56,V56)</f>
        <v>111.33398191134134</v>
      </c>
      <c r="AB56" s="18"/>
      <c r="AC56" s="68">
        <f>AVERAGE(AA56,Z56,Y56,X56)</f>
        <v>111.33356930812199</v>
      </c>
      <c r="AD56" s="68">
        <f>AVERAGE(AC56,AA56,Z56,Y56)</f>
        <v>111.33323538800079</v>
      </c>
      <c r="AE56" s="68">
        <f>AVERAGE(AD56,AC56,AA56,Z56)</f>
        <v>111.33312666043636</v>
      </c>
      <c r="AF56" s="68">
        <f>AVERAGE(AE56,AD56,AC56,AA56)</f>
        <v>111.33347831697512</v>
      </c>
      <c r="AG56" s="18"/>
      <c r="AH56" s="68">
        <f>AVERAGE(AF56,AE56,AD56,AC56)</f>
        <v>111.33335241838357</v>
      </c>
      <c r="AI56" s="68">
        <f>AVERAGE(AH56,AF56,AE56,AD56)</f>
        <v>111.33329819594896</v>
      </c>
      <c r="AJ56" s="68">
        <f>AVERAGE(AI56,AH56,AF56,AE56)</f>
        <v>111.33331389793599</v>
      </c>
      <c r="AK56" s="68">
        <f>AVERAGE(AJ56,AI56,AH56,AF56)</f>
        <v>111.33336070731092</v>
      </c>
      <c r="AL56" s="18"/>
    </row>
    <row r="57" spans="1:38" s="20" customFormat="1" outlineLevel="1" x14ac:dyDescent="0.25">
      <c r="A57" s="308"/>
      <c r="B57" s="502" t="s">
        <v>185</v>
      </c>
      <c r="C57" s="503"/>
      <c r="D57" s="189">
        <v>4092.2</v>
      </c>
      <c r="E57" s="189">
        <v>3849.6</v>
      </c>
      <c r="F57" s="189">
        <v>4182.2</v>
      </c>
      <c r="G57" s="189">
        <v>4164.2</v>
      </c>
      <c r="H57" s="265">
        <f>SUM(D57:G57)</f>
        <v>16288.2</v>
      </c>
      <c r="I57" s="189">
        <v>4471</v>
      </c>
      <c r="J57" s="189">
        <v>3863.6</v>
      </c>
      <c r="K57" s="298">
        <v>2568.9</v>
      </c>
      <c r="L57" s="189">
        <f t="shared" ref="L57" si="157">+L51*L52+L56</f>
        <v>3766.6027396359382</v>
      </c>
      <c r="M57" s="265">
        <f>SUM(I57:L57)</f>
        <v>14670.102739635939</v>
      </c>
      <c r="N57" s="189">
        <f>+N51*N52+N56</f>
        <v>4222.153381532301</v>
      </c>
      <c r="O57" s="189">
        <f>+O51*O52+O56</f>
        <v>4392.8010366983845</v>
      </c>
      <c r="P57" s="189">
        <f t="shared" ref="P57" si="158">+P51*P52+P56</f>
        <v>4357.1285805484076</v>
      </c>
      <c r="Q57" s="189">
        <f t="shared" ref="Q57" si="159">+Q51*Q52+Q56</f>
        <v>4583.8798641733201</v>
      </c>
      <c r="R57" s="265">
        <f>SUM(N57:Q57)</f>
        <v>17555.962862952412</v>
      </c>
      <c r="S57" s="189">
        <f>+S51*S52+S56</f>
        <v>4885.0193681840046</v>
      </c>
      <c r="T57" s="189">
        <f>+T51*T52+T56</f>
        <v>4651.0742266633924</v>
      </c>
      <c r="U57" s="189">
        <f t="shared" ref="U57" si="160">+U51*U52+U56</f>
        <v>4599.7499986146559</v>
      </c>
      <c r="V57" s="189">
        <f t="shared" ref="V57" si="161">+V51*V52+V56</f>
        <v>4840.6425999595085</v>
      </c>
      <c r="W57" s="265">
        <f>SUM(S57:V57)</f>
        <v>18976.486193421559</v>
      </c>
      <c r="X57" s="189">
        <f>+X51*X52+X56</f>
        <v>5196.7897707288457</v>
      </c>
      <c r="Y57" s="189">
        <f>+Y51*Y52+Y56</f>
        <v>4954.8751814076177</v>
      </c>
      <c r="Z57" s="189">
        <f t="shared" ref="Z57" si="162">+Z51*Z52+Z56</f>
        <v>4908.8089999408303</v>
      </c>
      <c r="AA57" s="189">
        <f t="shared" ref="AA57" si="163">+AA51*AA52+AA56</f>
        <v>5176.924586168343</v>
      </c>
      <c r="AB57" s="265">
        <f>SUM(X57:AA57)</f>
        <v>20237.398538245638</v>
      </c>
      <c r="AC57" s="189">
        <f>+AC51*AC52+AC56</f>
        <v>5508.3901536954745</v>
      </c>
      <c r="AD57" s="189">
        <f>+AD51*AD52+AD56</f>
        <v>5256.0113663986431</v>
      </c>
      <c r="AE57" s="189">
        <f t="shared" ref="AE57:AF57" si="164">+AE51*AE52+AE56</f>
        <v>5210.6097561166516</v>
      </c>
      <c r="AF57" s="189">
        <f t="shared" si="164"/>
        <v>5498.4888046340311</v>
      </c>
      <c r="AG57" s="265">
        <f>SUM(AC57:AF57)</f>
        <v>21473.500080844802</v>
      </c>
      <c r="AH57" s="189">
        <f>+AH51*AH52+AH56</f>
        <v>5853.1024476975463</v>
      </c>
      <c r="AI57" s="189">
        <f>+AI51*AI52+AI56</f>
        <v>5585.6897666853711</v>
      </c>
      <c r="AJ57" s="189">
        <f t="shared" ref="AJ57:AK57" si="165">+AJ51*AJ52+AJ56</f>
        <v>5537.5548681181263</v>
      </c>
      <c r="AK57" s="189">
        <f t="shared" si="165"/>
        <v>5843.1424283622309</v>
      </c>
      <c r="AL57" s="265">
        <f>SUM(AH57:AK57)</f>
        <v>22819.489510863277</v>
      </c>
    </row>
    <row r="58" spans="1:38" s="20" customFormat="1" outlineLevel="1" x14ac:dyDescent="0.25">
      <c r="A58" s="308"/>
      <c r="B58" s="211" t="s">
        <v>180</v>
      </c>
      <c r="C58" s="85"/>
      <c r="D58" s="215">
        <f>+D57/D49</f>
        <v>0.41855374859363809</v>
      </c>
      <c r="E58" s="215">
        <f t="shared" ref="E58" si="166">+E57/E49</f>
        <v>0.39378068739770866</v>
      </c>
      <c r="F58" s="215">
        <f t="shared" ref="F58" si="167">+F57/F49</f>
        <v>0.42428730851171753</v>
      </c>
      <c r="G58" s="215">
        <f t="shared" ref="G58" si="168">+G57/G49</f>
        <v>0.4175055143372769</v>
      </c>
      <c r="H58" s="201"/>
      <c r="I58" s="215">
        <f t="shared" ref="I58:J58" si="169">+I57/I49</f>
        <v>0.44620758483033934</v>
      </c>
      <c r="J58" s="215">
        <f t="shared" si="169"/>
        <v>0.38439956223261368</v>
      </c>
      <c r="K58" s="215">
        <f t="shared" ref="K58" si="170">+K57/K49</f>
        <v>0.25645402815214136</v>
      </c>
      <c r="L58" s="215">
        <f t="shared" ref="L58" si="171">+L57/L49</f>
        <v>0.37344861586713646</v>
      </c>
      <c r="M58" s="201"/>
      <c r="N58" s="215">
        <f t="shared" ref="N58" si="172">+N57/N49</f>
        <v>0.41729130080374588</v>
      </c>
      <c r="O58" s="215">
        <f t="shared" ref="O58" si="173">+O57/O49</f>
        <v>0.43278827947767334</v>
      </c>
      <c r="P58" s="215">
        <f t="shared" ref="P58" si="174">+P57/P49</f>
        <v>0.42792462979261514</v>
      </c>
      <c r="Q58" s="215">
        <f t="shared" ref="Q58" si="175">+Q57/Q49</f>
        <v>0.44878400863259449</v>
      </c>
      <c r="R58" s="201"/>
      <c r="S58" s="215">
        <f t="shared" ref="S58" si="176">+S57/S49</f>
        <v>0.47630844073556988</v>
      </c>
      <c r="T58" s="215">
        <f t="shared" ref="T58" si="177">+T57/T49</f>
        <v>0.45164830323008276</v>
      </c>
      <c r="U58" s="215">
        <f t="shared" ref="U58" si="178">+U57/U49</f>
        <v>0.44485009657781971</v>
      </c>
      <c r="V58" s="215">
        <f t="shared" ref="V58" si="179">+V57/V49</f>
        <v>0.46625338084757356</v>
      </c>
      <c r="W58" s="201"/>
      <c r="X58" s="215">
        <f t="shared" ref="X58" si="180">+X57/X49</f>
        <v>0.49791987838735707</v>
      </c>
      <c r="Y58" s="215">
        <f t="shared" ref="Y58" si="181">+Y57/Y49</f>
        <v>0.47225268599005127</v>
      </c>
      <c r="Z58" s="215">
        <f t="shared" ref="Z58" si="182">+Z57/Z49</f>
        <v>0.4654223001745359</v>
      </c>
      <c r="AA58" s="215">
        <f t="shared" ref="AA58" si="183">+AA57/AA49</f>
        <v>0.48829698039693858</v>
      </c>
      <c r="AB58" s="201"/>
      <c r="AC58" s="215">
        <f t="shared" ref="AC58:AF58" si="184">+AC57/AC49</f>
        <v>0.5165407120869725</v>
      </c>
      <c r="AD58" s="215">
        <f t="shared" si="184"/>
        <v>0.49002529986934951</v>
      </c>
      <c r="AE58" s="215">
        <f t="shared" si="184"/>
        <v>0.48300053356661582</v>
      </c>
      <c r="AF58" s="215">
        <f t="shared" si="184"/>
        <v>0.50677316171742226</v>
      </c>
      <c r="AG58" s="201"/>
      <c r="AH58" s="215">
        <f t="shared" ref="AH58:AK58" si="185">+AH57/AH49</f>
        <v>0.53639135334471644</v>
      </c>
      <c r="AI58" s="215">
        <f t="shared" si="185"/>
        <v>0.50899305327914812</v>
      </c>
      <c r="AJ58" s="215">
        <f t="shared" si="185"/>
        <v>0.50177191628471607</v>
      </c>
      <c r="AK58" s="215">
        <f t="shared" si="185"/>
        <v>0.52650409338279247</v>
      </c>
      <c r="AL58" s="201"/>
    </row>
    <row r="59" spans="1:38" s="204" customFormat="1" outlineLevel="1" x14ac:dyDescent="0.25">
      <c r="A59" s="312"/>
      <c r="B59" s="211" t="s">
        <v>178</v>
      </c>
      <c r="C59" s="212"/>
      <c r="D59" s="207">
        <f>ROUND((+D57-D56-(D51*D52)),0)</f>
        <v>0</v>
      </c>
      <c r="E59" s="213">
        <f>ROUND((+E57-E56-(E51*E52)),0)</f>
        <v>0</v>
      </c>
      <c r="F59" s="315">
        <f>ROUND((+F57-F56-(F51*F52)),0)</f>
        <v>0</v>
      </c>
      <c r="G59" s="213">
        <f>ROUND((+G57-G56-(G51*G52)),0)</f>
        <v>0</v>
      </c>
      <c r="H59" s="214"/>
      <c r="I59" s="213">
        <f>ROUND((+I57-I56-(I51*I52)),0)</f>
        <v>0</v>
      </c>
      <c r="J59" s="213">
        <f>ROUND((+J57-J56-(J51*J52)),0)</f>
        <v>0</v>
      </c>
      <c r="K59" s="213">
        <f>ROUND((+K57-K56-(K51*K52)),0)</f>
        <v>0</v>
      </c>
      <c r="L59" s="213">
        <f>ROUND((+L57-L56-(L51*L52)),0)</f>
        <v>0</v>
      </c>
      <c r="M59" s="214"/>
      <c r="N59" s="213">
        <f>ROUND((+N57-N56-(N51*N52)),0)</f>
        <v>0</v>
      </c>
      <c r="O59" s="213">
        <f>ROUND((+O57-O56-(O51*O52)),0)</f>
        <v>0</v>
      </c>
      <c r="P59" s="213">
        <f>ROUND((+P57-P56-(P51*P52)),0)</f>
        <v>0</v>
      </c>
      <c r="Q59" s="213">
        <f>ROUND((+Q57-Q56-(Q51*Q52)),0)</f>
        <v>0</v>
      </c>
      <c r="R59" s="214"/>
      <c r="S59" s="213">
        <f>ROUND((+S57-S56-(S51*S52)),0)</f>
        <v>0</v>
      </c>
      <c r="T59" s="213">
        <f>ROUND((+T57-T56-(T51*T52)),0)</f>
        <v>0</v>
      </c>
      <c r="U59" s="213">
        <f>ROUND((+U57-U56-(U51*U52)),0)</f>
        <v>0</v>
      </c>
      <c r="V59" s="213">
        <f>ROUND((+V57-V56-(V51*V52)),0)</f>
        <v>0</v>
      </c>
      <c r="W59" s="214"/>
      <c r="X59" s="213">
        <f>ROUND((+X57-X56-(X51*X52)),0)</f>
        <v>0</v>
      </c>
      <c r="Y59" s="213">
        <f>ROUND((+Y57-Y56-(Y51*Y52)),0)</f>
        <v>0</v>
      </c>
      <c r="Z59" s="213">
        <f>ROUND((+Z57-Z56-(Z51*Z52)),0)</f>
        <v>0</v>
      </c>
      <c r="AA59" s="213">
        <f>ROUND((+AA57-AA56-(AA51*AA52)),0)</f>
        <v>0</v>
      </c>
      <c r="AB59" s="214"/>
      <c r="AC59" s="213">
        <f>ROUND((+AC57-AC56-(AC51*AC52)),0)</f>
        <v>0</v>
      </c>
      <c r="AD59" s="213">
        <f>ROUND((+AD57-AD56-(AD51*AD52)),0)</f>
        <v>0</v>
      </c>
      <c r="AE59" s="213">
        <f>ROUND((+AE57-AE56-(AE51*AE52)),0)</f>
        <v>0</v>
      </c>
      <c r="AF59" s="213">
        <f>ROUND((+AF57-AF56-(AF51*AF52)),0)</f>
        <v>0</v>
      </c>
      <c r="AG59" s="214"/>
      <c r="AH59" s="213">
        <f>ROUND((+AH57-AH56-(AH51*AH52)),0)</f>
        <v>0</v>
      </c>
      <c r="AI59" s="213">
        <f>ROUND((+AI57-AI56-(AI51*AI52)),0)</f>
        <v>0</v>
      </c>
      <c r="AJ59" s="213">
        <f>ROUND((+AJ57-AJ56-(AJ51*AJ52)),0)</f>
        <v>0</v>
      </c>
      <c r="AK59" s="213">
        <f>ROUND((+AK57-AK56-(AK51*AK52)),0)</f>
        <v>0</v>
      </c>
      <c r="AL59" s="214"/>
    </row>
    <row r="60" spans="1:38" s="20" customFormat="1" outlineLevel="1" x14ac:dyDescent="0.25">
      <c r="A60" s="308"/>
      <c r="B60" s="551" t="s">
        <v>171</v>
      </c>
      <c r="C60" s="552"/>
      <c r="D60" s="216">
        <v>7876</v>
      </c>
      <c r="E60" s="216">
        <v>7943</v>
      </c>
      <c r="F60" s="326">
        <v>7996</v>
      </c>
      <c r="G60" s="216">
        <v>8093</v>
      </c>
      <c r="H60" s="217"/>
      <c r="I60" s="216">
        <v>8183</v>
      </c>
      <c r="J60" s="216">
        <v>8220</v>
      </c>
      <c r="K60" s="216">
        <v>8218</v>
      </c>
      <c r="L60" s="216">
        <f t="shared" ref="L60" si="186">+K60+L61</f>
        <v>8288</v>
      </c>
      <c r="M60" s="217"/>
      <c r="N60" s="216">
        <f>+L60+N61</f>
        <v>8336.75</v>
      </c>
      <c r="O60" s="216">
        <f>+N60+O61</f>
        <v>8375.1875</v>
      </c>
      <c r="P60" s="216">
        <f t="shared" ref="P60" si="187">+O60+P61</f>
        <v>8413.984375</v>
      </c>
      <c r="Q60" s="216">
        <f t="shared" ref="Q60" si="188">+P60+Q61</f>
        <v>8462.98046875</v>
      </c>
      <c r="R60" s="217"/>
      <c r="S60" s="216">
        <f>+Q60+S61</f>
        <v>8506.7255859375</v>
      </c>
      <c r="T60" s="216">
        <f>+S60+T61</f>
        <v>8549.219482421875</v>
      </c>
      <c r="U60" s="216">
        <f t="shared" ref="U60" si="189">+T60+U61</f>
        <v>8592.7274780273438</v>
      </c>
      <c r="V60" s="216">
        <f t="shared" ref="V60" si="190">+U60+V61</f>
        <v>8637.4132537841797</v>
      </c>
      <c r="W60" s="217"/>
      <c r="X60" s="216">
        <f>+V60+X61</f>
        <v>8681.0214500427246</v>
      </c>
      <c r="Y60" s="216">
        <f>+X60+Y61</f>
        <v>8724.5954160690308</v>
      </c>
      <c r="Z60" s="216">
        <f t="shared" ref="Z60" si="191">+Y60+Z61</f>
        <v>8768.4393994808197</v>
      </c>
      <c r="AA60" s="216">
        <f t="shared" ref="AA60" si="192">+Z60+AA61</f>
        <v>8812.3673798441887</v>
      </c>
      <c r="AB60" s="217"/>
      <c r="AC60" s="216">
        <f>+AA60+AC61</f>
        <v>8887.3673798441887</v>
      </c>
      <c r="AD60" s="216">
        <f>+AC60+AD61</f>
        <v>8962.3673798441887</v>
      </c>
      <c r="AE60" s="216">
        <f t="shared" ref="AE60" si="193">+AD60+AE61</f>
        <v>9037.3673798441887</v>
      </c>
      <c r="AF60" s="216">
        <f t="shared" ref="AF60" si="194">+AE60+AF61</f>
        <v>9112.3673798441887</v>
      </c>
      <c r="AG60" s="217"/>
      <c r="AH60" s="216">
        <f>+AF60+AH61</f>
        <v>9187.3673798441887</v>
      </c>
      <c r="AI60" s="216">
        <f>+AH60+AI61</f>
        <v>9262.3673798441887</v>
      </c>
      <c r="AJ60" s="216">
        <f t="shared" ref="AJ60" si="195">+AI60+AJ61</f>
        <v>9337.3673798441887</v>
      </c>
      <c r="AK60" s="216">
        <f t="shared" ref="AK60" si="196">+AJ60+AK61</f>
        <v>9412.3673798441887</v>
      </c>
      <c r="AL60" s="217"/>
    </row>
    <row r="61" spans="1:38" outlineLevel="1" x14ac:dyDescent="0.25">
      <c r="A61" s="293"/>
      <c r="B61" s="50" t="s">
        <v>179</v>
      </c>
      <c r="C61" s="83"/>
      <c r="D61" s="37">
        <f>+D60-7770</f>
        <v>106</v>
      </c>
      <c r="E61" s="295">
        <f>E60-D60</f>
        <v>67</v>
      </c>
      <c r="F61" s="295">
        <f t="shared" ref="F61:G61" si="197">F60-E60</f>
        <v>53</v>
      </c>
      <c r="G61" s="295">
        <f t="shared" si="197"/>
        <v>97</v>
      </c>
      <c r="H61" s="55">
        <f>+SUM(D61:G61)</f>
        <v>323</v>
      </c>
      <c r="I61" s="295">
        <f>I60-G60</f>
        <v>90</v>
      </c>
      <c r="J61" s="295">
        <f t="shared" ref="J61:K61" si="198">J60-I60</f>
        <v>37</v>
      </c>
      <c r="K61" s="295">
        <f t="shared" si="198"/>
        <v>-2</v>
      </c>
      <c r="L61" s="70">
        <v>70</v>
      </c>
      <c r="M61" s="55">
        <f>+SUM(I61:L61)</f>
        <v>195</v>
      </c>
      <c r="N61" s="70">
        <f>AVERAGE(I61,J61,K61,L61)</f>
        <v>48.75</v>
      </c>
      <c r="O61" s="70">
        <f>AVERAGE(J61,K61,L61,N61)</f>
        <v>38.4375</v>
      </c>
      <c r="P61" s="70">
        <f>AVERAGE(K61,L61,N61,O61)</f>
        <v>38.796875</v>
      </c>
      <c r="Q61" s="70">
        <f>AVERAGE(L61,N61,O61,P61)</f>
        <v>48.99609375</v>
      </c>
      <c r="R61" s="55">
        <f>+SUM(N61:Q61)</f>
        <v>174.98046875</v>
      </c>
      <c r="S61" s="70">
        <f>AVERAGE(N61,O61,P61,Q61)</f>
        <v>43.7451171875</v>
      </c>
      <c r="T61" s="70">
        <f>AVERAGE(O61,P61,Q61,S61)</f>
        <v>42.493896484375</v>
      </c>
      <c r="U61" s="70">
        <f>AVERAGE(P61,Q61,S61,T61)</f>
        <v>43.50799560546875</v>
      </c>
      <c r="V61" s="70">
        <f>AVERAGE(Q61,S61,T61,U61)</f>
        <v>44.685775756835938</v>
      </c>
      <c r="W61" s="55">
        <f>+SUM(S61:V61)</f>
        <v>174.43278503417969</v>
      </c>
      <c r="X61" s="70">
        <f>AVERAGE(S61,T61,U61,V61)</f>
        <v>43.608196258544922</v>
      </c>
      <c r="Y61" s="70">
        <f>AVERAGE(T61,U61,V61,X61)</f>
        <v>43.573966026306152</v>
      </c>
      <c r="Z61" s="70">
        <f>AVERAGE(U61,V61,X61,Y61)</f>
        <v>43.84398341178894</v>
      </c>
      <c r="AA61" s="70">
        <f>AVERAGE(V61,X61,Y61,Z61)</f>
        <v>43.927980363368988</v>
      </c>
      <c r="AB61" s="55">
        <f>+SUM(X61:AA61)</f>
        <v>174.954126060009</v>
      </c>
      <c r="AC61" s="70">
        <v>75</v>
      </c>
      <c r="AD61" s="70">
        <v>75</v>
      </c>
      <c r="AE61" s="70">
        <v>75</v>
      </c>
      <c r="AF61" s="70">
        <v>75</v>
      </c>
      <c r="AG61" s="55">
        <f>+SUM(AC61:AF61)</f>
        <v>300</v>
      </c>
      <c r="AH61" s="70">
        <f>AVERAGE(AC61,AD61,AE61,AF61)</f>
        <v>75</v>
      </c>
      <c r="AI61" s="70">
        <f>AVERAGE(AD61,AE61,AF61,AH61)</f>
        <v>75</v>
      </c>
      <c r="AJ61" s="70">
        <f>AVERAGE(AE61,AF61,AH61,AI61)</f>
        <v>75</v>
      </c>
      <c r="AK61" s="70">
        <f>AVERAGE(AF61,AH61,AI61,AJ61)</f>
        <v>75</v>
      </c>
      <c r="AL61" s="55">
        <f>+SUM(AH61:AK61)</f>
        <v>300</v>
      </c>
    </row>
    <row r="62" spans="1:38" outlineLevel="1" x14ac:dyDescent="0.25">
      <c r="A62" s="293"/>
      <c r="B62" s="50" t="s">
        <v>182</v>
      </c>
      <c r="C62" s="83"/>
      <c r="D62" s="37">
        <f>AVERAGE(D60,7770)</f>
        <v>7823</v>
      </c>
      <c r="E62" s="37">
        <f>AVERAGE(E60,D60)</f>
        <v>7909.5</v>
      </c>
      <c r="F62" s="37">
        <f t="shared" ref="F62:G62" si="199">AVERAGE(F60,E60)</f>
        <v>7969.5</v>
      </c>
      <c r="G62" s="37">
        <f t="shared" si="199"/>
        <v>8044.5</v>
      </c>
      <c r="H62" s="55"/>
      <c r="I62" s="37">
        <f>AVERAGE(I60,G60)</f>
        <v>8138</v>
      </c>
      <c r="J62" s="37">
        <f>AVERAGE(J60,I60)</f>
        <v>8201.5</v>
      </c>
      <c r="K62" s="37">
        <f t="shared" ref="K62:L62" si="200">AVERAGE(K60,J60)</f>
        <v>8219</v>
      </c>
      <c r="L62" s="37">
        <f t="shared" si="200"/>
        <v>8253</v>
      </c>
      <c r="M62" s="18"/>
      <c r="N62" s="37">
        <f>AVERAGE(N60,L60)</f>
        <v>8312.375</v>
      </c>
      <c r="O62" s="37">
        <f>AVERAGE(O60,N60)</f>
        <v>8355.96875</v>
      </c>
      <c r="P62" s="37">
        <f t="shared" ref="P62:Q62" si="201">AVERAGE(P60,O60)</f>
        <v>8394.5859375</v>
      </c>
      <c r="Q62" s="37">
        <f t="shared" si="201"/>
        <v>8438.482421875</v>
      </c>
      <c r="R62" s="18"/>
      <c r="S62" s="37">
        <f>AVERAGE(S60,Q60)</f>
        <v>8484.85302734375</v>
      </c>
      <c r="T62" s="37">
        <f>AVERAGE(T60,S60)</f>
        <v>8527.9725341796875</v>
      </c>
      <c r="U62" s="37">
        <f t="shared" ref="U62:V62" si="202">AVERAGE(U60,T60)</f>
        <v>8570.9734802246094</v>
      </c>
      <c r="V62" s="37">
        <f t="shared" si="202"/>
        <v>8615.0703659057617</v>
      </c>
      <c r="W62" s="18"/>
      <c r="X62" s="37">
        <f>AVERAGE(X60,V60)</f>
        <v>8659.2173519134521</v>
      </c>
      <c r="Y62" s="37">
        <f>AVERAGE(Y60,X60)</f>
        <v>8702.8084330558777</v>
      </c>
      <c r="Z62" s="37">
        <f t="shared" ref="Z62:AA62" si="203">AVERAGE(Z60,Y60)</f>
        <v>8746.5174077749252</v>
      </c>
      <c r="AA62" s="37">
        <f t="shared" si="203"/>
        <v>8790.4033896625042</v>
      </c>
      <c r="AB62" s="18"/>
      <c r="AC62" s="37">
        <f>AVERAGE(AC60,AA60)</f>
        <v>8849.8673798441887</v>
      </c>
      <c r="AD62" s="37">
        <f>AVERAGE(AD60,AC60)</f>
        <v>8924.8673798441887</v>
      </c>
      <c r="AE62" s="37">
        <f t="shared" ref="AE62" si="204">AVERAGE(AE60,AD60)</f>
        <v>8999.8673798441887</v>
      </c>
      <c r="AF62" s="37">
        <f t="shared" ref="AF62" si="205">AVERAGE(AF60,AE60)</f>
        <v>9074.8673798441887</v>
      </c>
      <c r="AG62" s="18"/>
      <c r="AH62" s="37">
        <f>AVERAGE(AH60,AF60)</f>
        <v>9149.8673798441887</v>
      </c>
      <c r="AI62" s="37">
        <f>AVERAGE(AI60,AH60)</f>
        <v>9224.8673798441887</v>
      </c>
      <c r="AJ62" s="37">
        <f t="shared" ref="AJ62" si="206">AVERAGE(AJ60,AI60)</f>
        <v>9299.8673798441887</v>
      </c>
      <c r="AK62" s="37">
        <f t="shared" ref="AK62" si="207">AVERAGE(AK60,AJ60)</f>
        <v>9374.8673798441887</v>
      </c>
      <c r="AL62" s="18"/>
    </row>
    <row r="63" spans="1:38" outlineLevel="1" x14ac:dyDescent="0.25">
      <c r="A63" s="293"/>
      <c r="B63" s="50" t="s">
        <v>181</v>
      </c>
      <c r="C63" s="83"/>
      <c r="D63" s="123">
        <f>+D64/D62</f>
        <v>6.5780391154288645E-2</v>
      </c>
      <c r="E63" s="123">
        <f>+E64/E62</f>
        <v>5.8549845122953414E-2</v>
      </c>
      <c r="F63" s="123">
        <f>+F64/F62</f>
        <v>6.2274923144488362E-2</v>
      </c>
      <c r="G63" s="319">
        <f t="shared" ref="G63:K63" si="208">+G64/G62</f>
        <v>6.016533034992852E-2</v>
      </c>
      <c r="H63" s="362"/>
      <c r="I63" s="319">
        <f t="shared" si="208"/>
        <v>6.6023593020398133E-2</v>
      </c>
      <c r="J63" s="319">
        <f t="shared" si="208"/>
        <v>5.6599402548314331E-2</v>
      </c>
      <c r="K63" s="319">
        <f t="shared" si="208"/>
        <v>2.8653120817617714E-2</v>
      </c>
      <c r="L63" s="203">
        <v>5.5E-2</v>
      </c>
      <c r="M63" s="18"/>
      <c r="N63" s="203">
        <v>6.5000000000000002E-2</v>
      </c>
      <c r="O63" s="203">
        <v>0.06</v>
      </c>
      <c r="P63" s="203">
        <v>6.5000000000000002E-2</v>
      </c>
      <c r="Q63" s="203">
        <v>0.06</v>
      </c>
      <c r="R63" s="18"/>
      <c r="S63" s="203">
        <v>6.5000000000000002E-2</v>
      </c>
      <c r="T63" s="203">
        <f>+O63*(1+2%)</f>
        <v>6.1199999999999997E-2</v>
      </c>
      <c r="U63" s="203">
        <f>+P63*(1+2%)</f>
        <v>6.6299999999999998E-2</v>
      </c>
      <c r="V63" s="203">
        <f>+Q63*(1+2%)</f>
        <v>6.1199999999999997E-2</v>
      </c>
      <c r="W63" s="18"/>
      <c r="X63" s="203">
        <f>+S63*(1+2%)</f>
        <v>6.6299999999999998E-2</v>
      </c>
      <c r="Y63" s="203">
        <f>+T63*(1+2%)</f>
        <v>6.2424E-2</v>
      </c>
      <c r="Z63" s="203">
        <f>+U63*(1+2%)</f>
        <v>6.7626000000000006E-2</v>
      </c>
      <c r="AA63" s="203">
        <f>+V63*(1+2%)</f>
        <v>6.2424E-2</v>
      </c>
      <c r="AB63" s="18"/>
      <c r="AC63" s="203">
        <f>+X63*(1+5%)</f>
        <v>6.9614999999999996E-2</v>
      </c>
      <c r="AD63" s="203">
        <f>+Y63*(1+5%)</f>
        <v>6.5545199999999998E-2</v>
      </c>
      <c r="AE63" s="203">
        <f>+Z63*(1+5%)</f>
        <v>7.1007300000000009E-2</v>
      </c>
      <c r="AF63" s="203">
        <f>+AA63*(1+5%)</f>
        <v>6.5545199999999998E-2</v>
      </c>
      <c r="AG63" s="18"/>
      <c r="AH63" s="203">
        <f>+AC63*(1+5%)</f>
        <v>7.3095750000000001E-2</v>
      </c>
      <c r="AI63" s="203">
        <f>+AD63*(1+5%)</f>
        <v>6.8822460000000002E-2</v>
      </c>
      <c r="AJ63" s="203">
        <f>+AE63*(1+5%)</f>
        <v>7.4557665000000009E-2</v>
      </c>
      <c r="AK63" s="203">
        <f>+AF63*(1+5%)</f>
        <v>6.8822460000000002E-2</v>
      </c>
      <c r="AL63" s="18"/>
    </row>
    <row r="64" spans="1:38" s="20" customFormat="1" outlineLevel="1" x14ac:dyDescent="0.25">
      <c r="A64" s="308"/>
      <c r="B64" s="561" t="s">
        <v>184</v>
      </c>
      <c r="C64" s="562"/>
      <c r="D64" s="320">
        <v>514.6</v>
      </c>
      <c r="E64" s="320">
        <v>463.1</v>
      </c>
      <c r="F64" s="320">
        <v>496.3</v>
      </c>
      <c r="G64" s="320">
        <v>484</v>
      </c>
      <c r="H64" s="439"/>
      <c r="I64" s="320">
        <v>537.29999999999995</v>
      </c>
      <c r="J64" s="320">
        <v>464.2</v>
      </c>
      <c r="K64" s="320">
        <v>235.5</v>
      </c>
      <c r="L64" s="221">
        <f t="shared" ref="L64" si="209">+L62*L63</f>
        <v>453.91500000000002</v>
      </c>
      <c r="M64" s="222"/>
      <c r="N64" s="221">
        <f>+N62*N63</f>
        <v>540.30437500000005</v>
      </c>
      <c r="O64" s="221">
        <f>+O62*O63</f>
        <v>501.35812499999997</v>
      </c>
      <c r="P64" s="221">
        <f t="shared" ref="P64" si="210">+P62*P63</f>
        <v>545.64808593750001</v>
      </c>
      <c r="Q64" s="221">
        <f t="shared" ref="Q64" si="211">+Q62*Q63</f>
        <v>506.30894531249999</v>
      </c>
      <c r="R64" s="222"/>
      <c r="S64" s="221">
        <f>+S62*S63</f>
        <v>551.51544677734375</v>
      </c>
      <c r="T64" s="221">
        <f>+T62*T63</f>
        <v>521.9119190917969</v>
      </c>
      <c r="U64" s="221">
        <f t="shared" ref="U64" si="212">+U62*U63</f>
        <v>568.25554173889157</v>
      </c>
      <c r="V64" s="221">
        <f t="shared" ref="V64" si="213">+V62*V63</f>
        <v>527.24230639343261</v>
      </c>
      <c r="W64" s="222"/>
      <c r="X64" s="221">
        <f>+X62*X63</f>
        <v>574.10611043186191</v>
      </c>
      <c r="Y64" s="221">
        <f>+Y62*Y63</f>
        <v>543.26411362508009</v>
      </c>
      <c r="Z64" s="221">
        <f t="shared" ref="Z64" si="214">+Z62*Z63</f>
        <v>591.49198621818709</v>
      </c>
      <c r="AA64" s="221">
        <f t="shared" ref="AA64" si="215">+AA62*AA63</f>
        <v>548.73214119629222</v>
      </c>
      <c r="AB64" s="222"/>
      <c r="AC64" s="221">
        <f>+AC62*AC63</f>
        <v>616.08351764785311</v>
      </c>
      <c r="AD64" s="221">
        <f>+AD62*AD63</f>
        <v>584.98221738536324</v>
      </c>
      <c r="AE64" s="221">
        <f t="shared" ref="AE64:AF64" si="216">+AE62*AE63</f>
        <v>639.05628300081037</v>
      </c>
      <c r="AF64" s="221">
        <f t="shared" si="216"/>
        <v>594.81399738536334</v>
      </c>
      <c r="AG64" s="222"/>
      <c r="AH64" s="221">
        <f>+AH62*AH63</f>
        <v>668.81641853024587</v>
      </c>
      <c r="AI64" s="221">
        <f>+AI62*AI63</f>
        <v>634.87806625463145</v>
      </c>
      <c r="AJ64" s="221">
        <f t="shared" ref="AJ64:AK64" si="217">+AJ62*AJ63</f>
        <v>693.37639665085089</v>
      </c>
      <c r="AK64" s="221">
        <f t="shared" si="217"/>
        <v>645.20143525463152</v>
      </c>
      <c r="AL64" s="222"/>
    </row>
    <row r="65" spans="1:38" s="20" customFormat="1" outlineLevel="1" x14ac:dyDescent="0.25">
      <c r="A65" s="308"/>
      <c r="B65" s="502" t="s">
        <v>183</v>
      </c>
      <c r="C65" s="503"/>
      <c r="D65" s="298">
        <v>5.7</v>
      </c>
      <c r="E65" s="298">
        <v>1.4</v>
      </c>
      <c r="F65" s="298">
        <v>2.6</v>
      </c>
      <c r="G65" s="298">
        <v>3.2</v>
      </c>
      <c r="H65" s="440"/>
      <c r="I65" s="298">
        <v>2.6</v>
      </c>
      <c r="J65" s="298">
        <v>2.2000000000000002</v>
      </c>
      <c r="K65" s="298">
        <v>1.1000000000000001</v>
      </c>
      <c r="L65" s="189">
        <f t="shared" ref="L65" si="218">+G65*(1+L66)</f>
        <v>2.4000000000000004</v>
      </c>
      <c r="M65" s="196"/>
      <c r="N65" s="189">
        <f>+I65*(1+N66)</f>
        <v>3.25</v>
      </c>
      <c r="O65" s="189">
        <f>+J65*(1+O66)</f>
        <v>2.75</v>
      </c>
      <c r="P65" s="189">
        <f>+K65*(1+P66)</f>
        <v>1.375</v>
      </c>
      <c r="Q65" s="189">
        <f t="shared" ref="Q65" si="219">+L65*(1+Q66)</f>
        <v>3.0000000000000004</v>
      </c>
      <c r="R65" s="196"/>
      <c r="S65" s="189">
        <f>+N65*(1+S66)</f>
        <v>3.4125000000000001</v>
      </c>
      <c r="T65" s="189">
        <f>+O65*(1+T66)</f>
        <v>2.8875000000000002</v>
      </c>
      <c r="U65" s="189">
        <f>+P65*(1+U66)</f>
        <v>1.4437500000000001</v>
      </c>
      <c r="V65" s="189">
        <f t="shared" ref="V65" si="220">+Q65*(1+V66)</f>
        <v>3.1500000000000008</v>
      </c>
      <c r="W65" s="196"/>
      <c r="X65" s="189">
        <f>+S65*(1+X66)</f>
        <v>3.7537500000000006</v>
      </c>
      <c r="Y65" s="189">
        <f>+T65*(1+Y66)</f>
        <v>3.1762500000000005</v>
      </c>
      <c r="Z65" s="189">
        <f>+U65*(1+Z66)</f>
        <v>1.5881250000000002</v>
      </c>
      <c r="AA65" s="189">
        <f t="shared" ref="AA65" si="221">+V65*(1+AA66)</f>
        <v>3.4650000000000012</v>
      </c>
      <c r="AB65" s="196"/>
      <c r="AC65" s="189">
        <f>+X65*(1+AC66)</f>
        <v>4.129125000000001</v>
      </c>
      <c r="AD65" s="189">
        <f>+Y65*(1+AD66)</f>
        <v>3.493875000000001</v>
      </c>
      <c r="AE65" s="189">
        <f>+Z65*(1+AE66)</f>
        <v>1.7469375000000005</v>
      </c>
      <c r="AF65" s="189">
        <f t="shared" ref="AF65" si="222">+AA65*(1+AF66)</f>
        <v>3.8115000000000014</v>
      </c>
      <c r="AG65" s="196"/>
      <c r="AH65" s="189">
        <f>+AC65*(1+AH66)</f>
        <v>4.5420375000000019</v>
      </c>
      <c r="AI65" s="189">
        <f>+AD65*(1+AI66)</f>
        <v>3.8432625000000011</v>
      </c>
      <c r="AJ65" s="189">
        <f>+AE65*(1+AJ66)</f>
        <v>1.9216312500000006</v>
      </c>
      <c r="AK65" s="189">
        <f t="shared" ref="AK65" si="223">+AF65*(1+AK66)</f>
        <v>4.1926500000000022</v>
      </c>
      <c r="AL65" s="196"/>
    </row>
    <row r="66" spans="1:38" outlineLevel="1" x14ac:dyDescent="0.25">
      <c r="A66" s="293"/>
      <c r="B66" s="218" t="s">
        <v>186</v>
      </c>
      <c r="C66" s="219"/>
      <c r="D66" s="331"/>
      <c r="E66" s="331"/>
      <c r="F66" s="331"/>
      <c r="G66" s="331"/>
      <c r="H66" s="441"/>
      <c r="I66" s="331">
        <f>I65/D65-1</f>
        <v>-0.54385964912280704</v>
      </c>
      <c r="J66" s="331">
        <f t="shared" ref="J66" si="224">J65/E65-1</f>
        <v>0.57142857142857162</v>
      </c>
      <c r="K66" s="331">
        <f>K65/F65-1</f>
        <v>-0.57692307692307687</v>
      </c>
      <c r="L66" s="220">
        <v>-0.25</v>
      </c>
      <c r="M66" s="197"/>
      <c r="N66" s="220">
        <v>0.25</v>
      </c>
      <c r="O66" s="220">
        <v>0.25</v>
      </c>
      <c r="P66" s="220">
        <v>0.25</v>
      </c>
      <c r="Q66" s="220">
        <v>0.25</v>
      </c>
      <c r="R66" s="197"/>
      <c r="S66" s="220">
        <v>0.05</v>
      </c>
      <c r="T66" s="220">
        <v>0.05</v>
      </c>
      <c r="U66" s="220">
        <v>0.05</v>
      </c>
      <c r="V66" s="220">
        <v>0.05</v>
      </c>
      <c r="W66" s="197"/>
      <c r="X66" s="220">
        <v>0.1</v>
      </c>
      <c r="Y66" s="220">
        <v>0.1</v>
      </c>
      <c r="Z66" s="220">
        <v>0.1</v>
      </c>
      <c r="AA66" s="220">
        <v>0.1</v>
      </c>
      <c r="AB66" s="197"/>
      <c r="AC66" s="220">
        <v>0.1</v>
      </c>
      <c r="AD66" s="220">
        <v>0.1</v>
      </c>
      <c r="AE66" s="220">
        <v>0.1</v>
      </c>
      <c r="AF66" s="220">
        <v>0.1</v>
      </c>
      <c r="AG66" s="197"/>
      <c r="AH66" s="220">
        <v>0.1</v>
      </c>
      <c r="AI66" s="220">
        <v>0.1</v>
      </c>
      <c r="AJ66" s="220">
        <v>0.1</v>
      </c>
      <c r="AK66" s="220">
        <v>0.1</v>
      </c>
      <c r="AL66" s="197"/>
    </row>
    <row r="67" spans="1:38" outlineLevel="1" x14ac:dyDescent="0.25">
      <c r="A67" s="293"/>
      <c r="B67" s="50" t="s">
        <v>188</v>
      </c>
      <c r="C67" s="183"/>
      <c r="D67" s="295">
        <f t="shared" ref="D67:G67" si="225">+D60+D49</f>
        <v>17653</v>
      </c>
      <c r="E67" s="295">
        <f>+E60+E49</f>
        <v>17719</v>
      </c>
      <c r="F67" s="295">
        <f t="shared" si="225"/>
        <v>17853</v>
      </c>
      <c r="G67" s="295">
        <f t="shared" si="225"/>
        <v>18067</v>
      </c>
      <c r="H67" s="333"/>
      <c r="I67" s="295">
        <f>+I60+I49</f>
        <v>18203</v>
      </c>
      <c r="J67" s="295">
        <f t="shared" ref="J67:L67" si="226">+J60+J49</f>
        <v>18271</v>
      </c>
      <c r="K67" s="295">
        <f t="shared" si="226"/>
        <v>18235</v>
      </c>
      <c r="L67" s="37">
        <f t="shared" si="226"/>
        <v>18374</v>
      </c>
      <c r="M67" s="18"/>
      <c r="N67" s="37">
        <f>+N60+N49</f>
        <v>18454.75</v>
      </c>
      <c r="O67" s="37">
        <f t="shared" ref="O67:Q67" si="227">+O60+O49</f>
        <v>18525.1875</v>
      </c>
      <c r="P67" s="37">
        <f t="shared" si="227"/>
        <v>18595.984375</v>
      </c>
      <c r="Q67" s="37">
        <f t="shared" si="227"/>
        <v>18676.98046875</v>
      </c>
      <c r="R67" s="18"/>
      <c r="S67" s="37">
        <f>+S60+S49</f>
        <v>18762.7255859375</v>
      </c>
      <c r="T67" s="37">
        <f t="shared" ref="T67:V67" si="228">+T60+T49</f>
        <v>18847.219482421875</v>
      </c>
      <c r="U67" s="37">
        <f t="shared" si="228"/>
        <v>18932.727478027344</v>
      </c>
      <c r="V67" s="37">
        <f t="shared" si="228"/>
        <v>19019.41325378418</v>
      </c>
      <c r="W67" s="18"/>
      <c r="X67" s="37">
        <f>+X60+X49</f>
        <v>19118.021450042725</v>
      </c>
      <c r="Y67" s="37">
        <f t="shared" ref="Y67:AA67" si="229">+Y60+Y49</f>
        <v>19216.595416069031</v>
      </c>
      <c r="Z67" s="37">
        <f t="shared" si="229"/>
        <v>19315.43939948082</v>
      </c>
      <c r="AA67" s="37">
        <f t="shared" si="229"/>
        <v>19414.367379844189</v>
      </c>
      <c r="AB67" s="18"/>
      <c r="AC67" s="37">
        <f>+AC60+AC49</f>
        <v>19551.367379844189</v>
      </c>
      <c r="AD67" s="37">
        <f t="shared" ref="AD67:AF67" si="230">+AD60+AD49</f>
        <v>19688.367379844189</v>
      </c>
      <c r="AE67" s="37">
        <f t="shared" si="230"/>
        <v>19825.367379844189</v>
      </c>
      <c r="AF67" s="37">
        <f t="shared" si="230"/>
        <v>19962.367379844189</v>
      </c>
      <c r="AG67" s="18"/>
      <c r="AH67" s="37">
        <f>+AH60+AH49</f>
        <v>20099.367379844189</v>
      </c>
      <c r="AI67" s="37">
        <f t="shared" ref="AI67:AK67" si="231">+AI60+AI49</f>
        <v>20236.367379844189</v>
      </c>
      <c r="AJ67" s="37">
        <f t="shared" si="231"/>
        <v>20373.367379844189</v>
      </c>
      <c r="AK67" s="37">
        <f t="shared" si="231"/>
        <v>20510.367379844189</v>
      </c>
      <c r="AL67" s="18"/>
    </row>
    <row r="68" spans="1:38" outlineLevel="1" x14ac:dyDescent="0.25">
      <c r="A68" s="293"/>
      <c r="B68" s="50" t="s">
        <v>189</v>
      </c>
      <c r="C68" s="183"/>
      <c r="D68" s="295">
        <f t="shared" ref="D68:G68" si="232">+D61+D50</f>
        <v>193</v>
      </c>
      <c r="E68" s="295">
        <f>+E61+E50</f>
        <v>66</v>
      </c>
      <c r="F68" s="295">
        <f t="shared" si="232"/>
        <v>134</v>
      </c>
      <c r="G68" s="295">
        <f t="shared" si="232"/>
        <v>214</v>
      </c>
      <c r="H68" s="333">
        <f>+H61+H50</f>
        <v>607</v>
      </c>
      <c r="I68" s="295">
        <f>+I61+I50</f>
        <v>136</v>
      </c>
      <c r="J68" s="295">
        <f t="shared" ref="J68:L68" si="233">+J61+J50</f>
        <v>68</v>
      </c>
      <c r="K68" s="295">
        <f t="shared" si="233"/>
        <v>-36</v>
      </c>
      <c r="L68" s="37">
        <f t="shared" si="233"/>
        <v>139</v>
      </c>
      <c r="M68" s="415">
        <f>+M61+M50</f>
        <v>307</v>
      </c>
      <c r="N68" s="37">
        <f>+N61+N50</f>
        <v>80.75</v>
      </c>
      <c r="O68" s="37">
        <f t="shared" ref="O68:Q68" si="234">+O61+O50</f>
        <v>70.4375</v>
      </c>
      <c r="P68" s="37">
        <f t="shared" si="234"/>
        <v>70.796875</v>
      </c>
      <c r="Q68" s="37">
        <f t="shared" si="234"/>
        <v>80.99609375</v>
      </c>
      <c r="R68" s="55">
        <f>+R61+R50</f>
        <v>302.98046875</v>
      </c>
      <c r="S68" s="37">
        <f>+S61+S50</f>
        <v>85.7451171875</v>
      </c>
      <c r="T68" s="37">
        <f t="shared" ref="T68:V68" si="235">+T61+T50</f>
        <v>84.493896484375</v>
      </c>
      <c r="U68" s="37">
        <f t="shared" si="235"/>
        <v>85.50799560546875</v>
      </c>
      <c r="V68" s="37">
        <f t="shared" si="235"/>
        <v>86.685775756835938</v>
      </c>
      <c r="W68" s="55">
        <f>+W61+W50</f>
        <v>342.43278503417969</v>
      </c>
      <c r="X68" s="37">
        <f>+X61+X50</f>
        <v>98.608196258544922</v>
      </c>
      <c r="Y68" s="37">
        <f t="shared" ref="Y68:AA68" si="236">+Y61+Y50</f>
        <v>98.573966026306152</v>
      </c>
      <c r="Z68" s="37">
        <f t="shared" si="236"/>
        <v>98.84398341178894</v>
      </c>
      <c r="AA68" s="37">
        <f t="shared" si="236"/>
        <v>98.927980363368988</v>
      </c>
      <c r="AB68" s="55">
        <f>+AB61+AB50</f>
        <v>394.954126060009</v>
      </c>
      <c r="AC68" s="37">
        <f>+AC61+AC50</f>
        <v>137</v>
      </c>
      <c r="AD68" s="37">
        <f t="shared" ref="AD68:AF68" si="237">+AD61+AD50</f>
        <v>137</v>
      </c>
      <c r="AE68" s="37">
        <f t="shared" si="237"/>
        <v>137</v>
      </c>
      <c r="AF68" s="37">
        <f t="shared" si="237"/>
        <v>137</v>
      </c>
      <c r="AG68" s="55">
        <f>+AG61+AG50</f>
        <v>548</v>
      </c>
      <c r="AH68" s="37">
        <f>+AH61+AH50</f>
        <v>137</v>
      </c>
      <c r="AI68" s="37">
        <f t="shared" ref="AI68:AK68" si="238">+AI61+AI50</f>
        <v>137</v>
      </c>
      <c r="AJ68" s="37">
        <f t="shared" si="238"/>
        <v>137</v>
      </c>
      <c r="AK68" s="37">
        <f t="shared" si="238"/>
        <v>137</v>
      </c>
      <c r="AL68" s="55">
        <f>+AL61+AL50</f>
        <v>548</v>
      </c>
    </row>
    <row r="69" spans="1:38" outlineLevel="1" x14ac:dyDescent="0.25">
      <c r="A69" s="293"/>
      <c r="B69" s="559" t="s">
        <v>187</v>
      </c>
      <c r="C69" s="560"/>
      <c r="D69" s="320">
        <f t="shared" ref="D69:G69" si="239">+D65+D64+D57</f>
        <v>4612.5</v>
      </c>
      <c r="E69" s="320">
        <f t="shared" si="239"/>
        <v>4314.1000000000004</v>
      </c>
      <c r="F69" s="320">
        <f t="shared" si="239"/>
        <v>4681.0999999999995</v>
      </c>
      <c r="G69" s="320">
        <f t="shared" si="239"/>
        <v>4651.3999999999996</v>
      </c>
      <c r="H69" s="379">
        <f>SUM(D69:G69)</f>
        <v>18259.099999999999</v>
      </c>
      <c r="I69" s="320">
        <f>+I65+I64+I57</f>
        <v>5010.8999999999996</v>
      </c>
      <c r="J69" s="320">
        <f t="shared" ref="J69:L69" si="240">+J65+J64+J57</f>
        <v>4330</v>
      </c>
      <c r="K69" s="320">
        <f t="shared" si="240"/>
        <v>2805.5</v>
      </c>
      <c r="L69" s="221">
        <f t="shared" si="240"/>
        <v>4222.9177396359382</v>
      </c>
      <c r="M69" s="265">
        <f>SUM(I69:L69)</f>
        <v>16369.317739635939</v>
      </c>
      <c r="N69" s="221">
        <f>+N65+N64+N57</f>
        <v>4765.7077565323007</v>
      </c>
      <c r="O69" s="221">
        <f t="shared" ref="O69:Q69" si="241">+O65+O64+O57</f>
        <v>4896.9091616983842</v>
      </c>
      <c r="P69" s="221">
        <f t="shared" si="241"/>
        <v>4904.1516664859073</v>
      </c>
      <c r="Q69" s="221">
        <f t="shared" si="241"/>
        <v>5093.1888094858205</v>
      </c>
      <c r="R69" s="265">
        <f>SUM(N69:Q69)</f>
        <v>19659.957394202414</v>
      </c>
      <c r="S69" s="221">
        <f>+S65+S64+S57</f>
        <v>5439.9473149613486</v>
      </c>
      <c r="T69" s="221">
        <f t="shared" ref="T69:V69" si="242">+T65+T64+T57</f>
        <v>5175.8736457551895</v>
      </c>
      <c r="U69" s="221">
        <f t="shared" si="242"/>
        <v>5169.4492903535474</v>
      </c>
      <c r="V69" s="221">
        <f t="shared" si="242"/>
        <v>5371.0349063529411</v>
      </c>
      <c r="W69" s="265">
        <f>SUM(S69:V69)</f>
        <v>21156.305157423027</v>
      </c>
      <c r="X69" s="221">
        <f>+X65+X64+X57</f>
        <v>5774.6496311607079</v>
      </c>
      <c r="Y69" s="221">
        <f t="shared" ref="Y69:AA69" si="243">+Y65+Y64+Y57</f>
        <v>5501.3155450326976</v>
      </c>
      <c r="Z69" s="221">
        <f t="shared" si="243"/>
        <v>5501.8891111590174</v>
      </c>
      <c r="AA69" s="221">
        <f t="shared" si="243"/>
        <v>5729.1217273646353</v>
      </c>
      <c r="AB69" s="265">
        <f>SUM(X69:AA69)</f>
        <v>22506.97601471706</v>
      </c>
      <c r="AC69" s="221">
        <f>+AC65+AC64+AC57</f>
        <v>6128.602796343328</v>
      </c>
      <c r="AD69" s="221">
        <f t="shared" ref="AD69:AF69" si="244">+AD65+AD64+AD57</f>
        <v>5844.4874587840059</v>
      </c>
      <c r="AE69" s="221">
        <f t="shared" si="244"/>
        <v>5851.4129766174619</v>
      </c>
      <c r="AF69" s="221">
        <f t="shared" si="244"/>
        <v>6097.114302019394</v>
      </c>
      <c r="AG69" s="265">
        <f>SUM(AC69:AF69)</f>
        <v>23921.617533764191</v>
      </c>
      <c r="AH69" s="221">
        <f>+AH65+AH64+AH57</f>
        <v>6526.4609037277924</v>
      </c>
      <c r="AI69" s="221">
        <f t="shared" ref="AI69:AK69" si="245">+AI65+AI64+AI57</f>
        <v>6224.4110954400021</v>
      </c>
      <c r="AJ69" s="221">
        <f t="shared" si="245"/>
        <v>6232.8528960189769</v>
      </c>
      <c r="AK69" s="221">
        <f t="shared" si="245"/>
        <v>6492.5365136168621</v>
      </c>
      <c r="AL69" s="265">
        <f>SUM(AH69:AK69)</f>
        <v>25476.261408803632</v>
      </c>
    </row>
    <row r="70" spans="1:38" outlineLevel="1" x14ac:dyDescent="0.25">
      <c r="A70" s="293"/>
      <c r="B70" s="553" t="s">
        <v>300</v>
      </c>
      <c r="C70" s="554"/>
      <c r="D70" s="300">
        <v>1351.3</v>
      </c>
      <c r="E70" s="300">
        <v>1220.5</v>
      </c>
      <c r="F70" s="300">
        <v>1324</v>
      </c>
      <c r="G70" s="300">
        <v>1278.9000000000001</v>
      </c>
      <c r="H70" s="376"/>
      <c r="I70" s="300">
        <v>1388.4</v>
      </c>
      <c r="J70" s="300">
        <v>1248.2</v>
      </c>
      <c r="K70" s="300">
        <v>805.6</v>
      </c>
      <c r="L70" s="187">
        <f>+(L69*L80)*(K70/K79)</f>
        <v>923.99247307528219</v>
      </c>
      <c r="M70" s="234"/>
      <c r="N70" s="187">
        <f>+(N69*N80)*(L70/L79)</f>
        <v>960.09966458220265</v>
      </c>
      <c r="O70" s="187">
        <f>+(O69*O80)*(N70/N79)</f>
        <v>979.99818339841727</v>
      </c>
      <c r="P70" s="187">
        <f>+(P69*P80)*(O70/O79)</f>
        <v>981.44759593613423</v>
      </c>
      <c r="Q70" s="187">
        <f>+(Q69*Q80)*(P70/P79)</f>
        <v>1012.4836256390057</v>
      </c>
      <c r="R70" s="234"/>
      <c r="S70" s="187">
        <f>+(S69*S80)*(Q70/Q79)</f>
        <v>1081.4163359660099</v>
      </c>
      <c r="T70" s="187">
        <f>+(T69*T80)*(S70/S79)</f>
        <v>1028.9206842172114</v>
      </c>
      <c r="U70" s="187">
        <f>+(U69*U80)*(T70/T79)</f>
        <v>1020.7466389813269</v>
      </c>
      <c r="V70" s="187">
        <f>+(V69*V80)*(U70/U79)</f>
        <v>1060.5512348755808</v>
      </c>
      <c r="W70" s="234"/>
      <c r="X70" s="187">
        <f>+(X69*X80)*(V70/V79)</f>
        <v>1140.2479976544889</v>
      </c>
      <c r="Y70" s="187">
        <f>+(Y69*Y80)*(X70/X79)</f>
        <v>1086.276126752334</v>
      </c>
      <c r="Z70" s="187">
        <f>+(Z69*Z80)*(Y70/Y79)</f>
        <v>1079.0489129021998</v>
      </c>
      <c r="AA70" s="187">
        <f>+(AA69*AA80)*(Z70/Z79)</f>
        <v>1123.6145343712485</v>
      </c>
      <c r="AB70" s="234"/>
      <c r="AC70" s="187">
        <f>+(AC69*AC80)*(AA70/AA79)</f>
        <v>1193.785486170035</v>
      </c>
      <c r="AD70" s="187">
        <f>+(AD69*AD80)*(AC70/AC79)</f>
        <v>1138.4428937966168</v>
      </c>
      <c r="AE70" s="187">
        <f>+(AE69*AE80)*(AD70/AD79)</f>
        <v>1139.7919097058752</v>
      </c>
      <c r="AF70" s="187">
        <f>+(AF69*AF80)*(AE70/AE79)</f>
        <v>1179.5172664825429</v>
      </c>
      <c r="AG70" s="234"/>
      <c r="AH70" s="187">
        <f>+(AH69*AH80)*(AF70/AF79)</f>
        <v>1262.5765146670374</v>
      </c>
      <c r="AI70" s="187">
        <f>+(AI69*AI80)*(AH70/AH79)</f>
        <v>1204.1434680542832</v>
      </c>
      <c r="AJ70" s="187">
        <f>+(AJ69*AJ80)*(AI70/AI79)</f>
        <v>1205.7765766118514</v>
      </c>
      <c r="AK70" s="187">
        <f>+(AK69*AK80)*(AJ70/AJ79)</f>
        <v>1256.0136716713798</v>
      </c>
      <c r="AL70" s="234"/>
    </row>
    <row r="71" spans="1:38" outlineLevel="1" x14ac:dyDescent="0.25">
      <c r="A71" s="293"/>
      <c r="B71" s="50" t="s">
        <v>158</v>
      </c>
      <c r="C71" s="39"/>
      <c r="D71" s="187">
        <v>1983.1</v>
      </c>
      <c r="E71" s="187">
        <v>1935.7</v>
      </c>
      <c r="F71" s="187">
        <v>2034</v>
      </c>
      <c r="G71" s="187">
        <v>2112.1</v>
      </c>
      <c r="H71" s="188"/>
      <c r="I71" s="187">
        <v>2214.4</v>
      </c>
      <c r="J71" s="187">
        <v>2158.6</v>
      </c>
      <c r="K71" s="187">
        <v>2054.4</v>
      </c>
      <c r="L71" s="187">
        <f>+(L69*L80)*(68.0467689046405%-1.63083106791312%)</f>
        <v>2299.8461450992449</v>
      </c>
      <c r="M71" s="467"/>
      <c r="N71" s="187">
        <f>+(N69*N80)*(66.4159378367274%+1.86148189857905%)</f>
        <v>2456.6962276556392</v>
      </c>
      <c r="O71" s="187">
        <f>+(O69*O80)*(N71/N79)</f>
        <v>2507.6124167921098</v>
      </c>
      <c r="P71" s="187">
        <f>+(P69*P80)*(O71/O79)</f>
        <v>2511.3211633369547</v>
      </c>
      <c r="Q71" s="187">
        <f>+(Q69*Q80)*(P71/P79)</f>
        <v>2590.7359365163952</v>
      </c>
      <c r="R71" s="188"/>
      <c r="S71" s="187">
        <f>+(S69*S80)*(Q71/Q79)</f>
        <v>2767.1204679036896</v>
      </c>
      <c r="T71" s="187">
        <f>+(T69*T80)*(S71/S79)</f>
        <v>2632.7949656906262</v>
      </c>
      <c r="U71" s="187">
        <f>+(U69*U80)*(T71/T79)</f>
        <v>2611.8792765840976</v>
      </c>
      <c r="V71" s="187">
        <f>+(V69*V80)*(U71/U79)</f>
        <v>2713.7309948839102</v>
      </c>
      <c r="W71" s="188"/>
      <c r="X71" s="187">
        <f>+(X69*X80)*(V71/V79)</f>
        <v>2917.6585075140802</v>
      </c>
      <c r="Y71" s="187">
        <f>+(Y69*Y80)*(X71/X79)</f>
        <v>2779.5556661777696</v>
      </c>
      <c r="Z71" s="187">
        <f>+(Z69*Z80)*(Y71/Y79)</f>
        <v>2761.0627225209137</v>
      </c>
      <c r="AA71" s="187">
        <f>+(AA69*AA80)*(Z71/Z79)</f>
        <v>2875.0969193704509</v>
      </c>
      <c r="AB71" s="188"/>
      <c r="AC71" s="187">
        <f>+(AC69*AC80)*(AA71/AA79)</f>
        <v>3054.6498542734134</v>
      </c>
      <c r="AD71" s="187">
        <f>+(AD69*AD80)*(AC71/AC79)</f>
        <v>2913.0396205362472</v>
      </c>
      <c r="AE71" s="187">
        <f>+(AE69*AE80)*(AD71/AD79)</f>
        <v>2916.4914728986423</v>
      </c>
      <c r="AF71" s="187">
        <f>+(AF69*AF80)*(AE71/AE79)</f>
        <v>3018.1404347051052</v>
      </c>
      <c r="AG71" s="188"/>
      <c r="AH71" s="187">
        <f>+(AH69*AH80)*(AF71/AF79)</f>
        <v>3230.6718511967006</v>
      </c>
      <c r="AI71" s="187">
        <f>+(AI69*AI80)*(AH71/AH79)</f>
        <v>3081.1537850213022</v>
      </c>
      <c r="AJ71" s="187">
        <f>+(AJ69*AJ80)*(AI71/AI79)</f>
        <v>3085.3325716418308</v>
      </c>
      <c r="AK71" s="187">
        <f>+(AK69*AK80)*(AJ71/AJ79)</f>
        <v>3213.8788949809054</v>
      </c>
      <c r="AL71" s="188"/>
    </row>
    <row r="72" spans="1:38" outlineLevel="1" x14ac:dyDescent="0.25">
      <c r="A72" s="293"/>
      <c r="B72" s="50" t="s">
        <v>159</v>
      </c>
      <c r="C72" s="39"/>
      <c r="D72" s="187">
        <v>44.5</v>
      </c>
      <c r="E72" s="187">
        <v>39.4</v>
      </c>
      <c r="F72" s="187">
        <v>41.7</v>
      </c>
      <c r="G72" s="187">
        <v>34.200000000000003</v>
      </c>
      <c r="H72" s="188"/>
      <c r="I72" s="187">
        <v>42.5</v>
      </c>
      <c r="J72" s="187">
        <v>41.8</v>
      </c>
      <c r="K72" s="187">
        <v>40.700000000000003</v>
      </c>
      <c r="L72" s="187">
        <f>+(L69*L80)*(K72/K79)</f>
        <v>46.681347634265116</v>
      </c>
      <c r="M72" s="188"/>
      <c r="N72" s="187">
        <f>+(N69*N80)*(L72/L79)</f>
        <v>48.505531713624173</v>
      </c>
      <c r="O72" s="187">
        <f>+(O69*O80)*(N72/N79)</f>
        <v>49.510831758087846</v>
      </c>
      <c r="P72" s="187">
        <f>+(P69*P80)*(O72/O79)</f>
        <v>49.58405803699187</v>
      </c>
      <c r="Q72" s="187">
        <f>+(Q69*Q80)*(P72/P79)</f>
        <v>51.152040173172196</v>
      </c>
      <c r="R72" s="188"/>
      <c r="S72" s="187">
        <f>+(S69*S80)*(Q72/Q79)</f>
        <v>54.634613795700837</v>
      </c>
      <c r="T72" s="187">
        <f>+(T69*T80)*(S72/S79)</f>
        <v>51.98246257154976</v>
      </c>
      <c r="U72" s="187">
        <f>+(U69*U80)*(T72/T79)</f>
        <v>51.569498766807335</v>
      </c>
      <c r="V72" s="187">
        <f>+(V69*V80)*(U72/U79)</f>
        <v>53.580480709329848</v>
      </c>
      <c r="W72" s="188"/>
      <c r="X72" s="187">
        <f>+(X69*X80)*(V72/V79)</f>
        <v>57.606868799078541</v>
      </c>
      <c r="Y72" s="187">
        <f>+(Y69*Y80)*(X72/X79)</f>
        <v>54.88013698959778</v>
      </c>
      <c r="Z72" s="187">
        <f>+(Z69*Z80)*(Y72/Y79)</f>
        <v>54.515008385202968</v>
      </c>
      <c r="AA72" s="187">
        <f>+(AA69*AA80)*(Z72/Z79)</f>
        <v>56.766523769749</v>
      </c>
      <c r="AB72" s="188"/>
      <c r="AC72" s="187">
        <f>+(AC69*AC80)*(AA72/AA79)</f>
        <v>60.311655023734367</v>
      </c>
      <c r="AD72" s="187">
        <f>+(AD69*AD80)*(AC72/AC79)</f>
        <v>57.515672514302736</v>
      </c>
      <c r="AE72" s="187">
        <f>+(AE69*AE80)*(AD72/AD79)</f>
        <v>57.583826619946748</v>
      </c>
      <c r="AF72" s="187">
        <f>+(AF69*AF80)*(AE72/AE79)</f>
        <v>59.590805295232727</v>
      </c>
      <c r="AG72" s="188"/>
      <c r="AH72" s="187">
        <f>+(AH69*AH80)*(AF72/AF79)</f>
        <v>63.787070688863459</v>
      </c>
      <c r="AI72" s="187">
        <f>+(AI69*AI80)*(AH72/AH79)</f>
        <v>60.834954257459415</v>
      </c>
      <c r="AJ72" s="187">
        <f>+(AJ69*AJ80)*(AI72/AI79)</f>
        <v>60.91746110737629</v>
      </c>
      <c r="AK72" s="187">
        <f>+(AK69*AK80)*(AJ72/AJ79)</f>
        <v>63.455506997300326</v>
      </c>
      <c r="AL72" s="188"/>
    </row>
    <row r="73" spans="1:38" outlineLevel="1" x14ac:dyDescent="0.25">
      <c r="A73" s="293"/>
      <c r="B73" s="50" t="s">
        <v>160</v>
      </c>
      <c r="C73" s="39"/>
      <c r="D73" s="224">
        <v>166.9</v>
      </c>
      <c r="E73" s="224">
        <v>173</v>
      </c>
      <c r="F73" s="224">
        <v>175.6</v>
      </c>
      <c r="G73" s="224">
        <v>180.6</v>
      </c>
      <c r="H73" s="18"/>
      <c r="I73" s="224">
        <v>189.2</v>
      </c>
      <c r="J73" s="224">
        <v>191.5</v>
      </c>
      <c r="K73" s="224">
        <v>191.3</v>
      </c>
      <c r="L73" s="224">
        <f>(K73/(K73+K106+K120+K134))*L243</f>
        <v>195.27184941100538</v>
      </c>
      <c r="M73" s="468"/>
      <c r="N73" s="224">
        <f>(L73/(L73+L106+L120+L134))*N243</f>
        <v>195.55441019813847</v>
      </c>
      <c r="O73" s="224">
        <f>(N73/(N73+N106+N120+N134))*O243</f>
        <v>198.32592907025349</v>
      </c>
      <c r="P73" s="224">
        <f>(O73/(O73+O106+O120+O134))*P243</f>
        <v>199.84417335431226</v>
      </c>
      <c r="Q73" s="224">
        <f>(P73/(P73+P106+P120+P134))*Q243</f>
        <v>201.41762608080839</v>
      </c>
      <c r="R73" s="18"/>
      <c r="S73" s="224">
        <f>(Q73/(Q73+Q106+Q120+Q134))*S243</f>
        <v>203.75650651495238</v>
      </c>
      <c r="T73" s="224">
        <f>(S73/(S73+S106+S120+S134))*T243</f>
        <v>206.59922913955955</v>
      </c>
      <c r="U73" s="224">
        <f>(T73/(T73+T106+T120+T134))*U243</f>
        <v>207.79957868971755</v>
      </c>
      <c r="V73" s="224">
        <f>(U73/(U73+U106+U120+U134))*V243</f>
        <v>209.26264940687486</v>
      </c>
      <c r="W73" s="18"/>
      <c r="X73" s="224">
        <f>(V73/(V73+V106+V120+V134))*X243</f>
        <v>211.30428883017132</v>
      </c>
      <c r="Y73" s="224">
        <f>(X73/(X73+X106+X120+X134))*Y243</f>
        <v>211.92955709406081</v>
      </c>
      <c r="Z73" s="224">
        <f>(Y73/(Y73+Y106+Y120+Y134))*Z243</f>
        <v>211.35195627395876</v>
      </c>
      <c r="AA73" s="224">
        <f>(Z73/(Z73+Z106+Z120+Z134))*AA243</f>
        <v>211.11662873064182</v>
      </c>
      <c r="AB73" s="18"/>
      <c r="AC73" s="224">
        <f>(AA73/(AA73+AA106+AA120+AA134))*AC243</f>
        <v>211.41533179446779</v>
      </c>
      <c r="AD73" s="224">
        <f>(AC73/(AC73+AC106+AC120+AC134))*AD243</f>
        <v>212.88097333716615</v>
      </c>
      <c r="AE73" s="224">
        <f>(AD73/(AD73+AD106+AD120+AD134))*AE243</f>
        <v>213.04201282461725</v>
      </c>
      <c r="AF73" s="224">
        <f>(AE73/(AE73+AE106+AE120+AE134))*AF243</f>
        <v>213.52725051479234</v>
      </c>
      <c r="AG73" s="18"/>
      <c r="AH73" s="224">
        <f>(AF73/(AF73+AF106+AF120+AF134))*AH243</f>
        <v>214.53217628464145</v>
      </c>
      <c r="AI73" s="224">
        <f>(AH73/(AH73+AH106+AH120+AH134))*AI243</f>
        <v>216.77176793437141</v>
      </c>
      <c r="AJ73" s="224">
        <f>(AI73/(AI73+AI106+AI120+AI134))*AJ243</f>
        <v>217.57211072709282</v>
      </c>
      <c r="AK73" s="224">
        <f>(AJ73/(AJ73+AJ106+AJ120+AJ134))*AK243</f>
        <v>218.6960891916454</v>
      </c>
      <c r="AL73" s="18"/>
    </row>
    <row r="74" spans="1:38" outlineLevel="1" x14ac:dyDescent="0.25">
      <c r="A74" s="293"/>
      <c r="B74" s="50" t="s">
        <v>161</v>
      </c>
      <c r="C74" s="39"/>
      <c r="D74" s="187">
        <v>75.099999999999994</v>
      </c>
      <c r="E74" s="187">
        <v>70.900000000000006</v>
      </c>
      <c r="F74" s="187">
        <v>72</v>
      </c>
      <c r="G74" s="187">
        <v>106</v>
      </c>
      <c r="H74" s="188"/>
      <c r="I74" s="187">
        <v>72.400000000000006</v>
      </c>
      <c r="J74" s="187">
        <v>68.2</v>
      </c>
      <c r="K74" s="187">
        <v>62.2</v>
      </c>
      <c r="L74" s="187">
        <f>+(L69*L80)*(K74/K79)</f>
        <v>71.341027588483797</v>
      </c>
      <c r="M74" s="467"/>
      <c r="N74" s="187">
        <f>+(N69*N80)*(L74/L79)</f>
        <v>74.128846992319993</v>
      </c>
      <c r="O74" s="187">
        <f>+(O69*O80)*(N74/N79)</f>
        <v>75.665202342827129</v>
      </c>
      <c r="P74" s="187">
        <f t="shared" ref="P74:Q74" si="246">+(P69*P80)*(O74/O79)</f>
        <v>75.777110808375781</v>
      </c>
      <c r="Q74" s="187">
        <f t="shared" si="246"/>
        <v>78.173388176199268</v>
      </c>
      <c r="R74" s="188"/>
      <c r="S74" s="187">
        <f>+(S69*S80)*(Q74/Q79)</f>
        <v>83.495650567385553</v>
      </c>
      <c r="T74" s="187">
        <f>+(T69*T80)*(S74/S79)</f>
        <v>79.442485797307015</v>
      </c>
      <c r="U74" s="187">
        <f t="shared" ref="U74:V74" si="247">+(U69*U80)*(T74/T79)</f>
        <v>78.811371579739969</v>
      </c>
      <c r="V74" s="187">
        <f t="shared" si="247"/>
        <v>81.884665850622042</v>
      </c>
      <c r="W74" s="188"/>
      <c r="X74" s="187">
        <f>+(X69*X80)*(V74/V79)</f>
        <v>88.038015707682717</v>
      </c>
      <c r="Y74" s="187">
        <f>+(Y69*Y80)*(X74/X79)</f>
        <v>83.870872745773553</v>
      </c>
      <c r="Z74" s="187">
        <f t="shared" ref="Z74:AA74" si="248">+(Z69*Z80)*(Y74/Y79)</f>
        <v>83.312862937582949</v>
      </c>
      <c r="AA74" s="187">
        <f t="shared" si="248"/>
        <v>86.753753770967805</v>
      </c>
      <c r="AB74" s="188"/>
      <c r="AC74" s="187">
        <f>+(AC69*AC80)*(AA74/AA79)</f>
        <v>92.171620208262382</v>
      </c>
      <c r="AD74" s="187">
        <f>+(AD69*AD80)*(AC74/AC79)</f>
        <v>87.898644481317717</v>
      </c>
      <c r="AE74" s="187">
        <f t="shared" ref="AE74" si="249">+(AE69*AE80)*(AD74/AD79)</f>
        <v>88.002801370041496</v>
      </c>
      <c r="AF74" s="187">
        <f t="shared" ref="AF74" si="250">+(AF69*AF80)*(AE74/AE79)</f>
        <v>91.069977625638259</v>
      </c>
      <c r="AG74" s="188"/>
      <c r="AH74" s="187">
        <f>+(AH69*AH80)*(AF74/AF79)</f>
        <v>97.482943411481799</v>
      </c>
      <c r="AI74" s="187">
        <f>+(AI69*AI80)*(AH74/AH79)</f>
        <v>92.971355155134589</v>
      </c>
      <c r="AJ74" s="187">
        <f t="shared" ref="AJ74" si="251">+(AJ69*AJ80)*(AI74/AI79)</f>
        <v>93.097446704638998</v>
      </c>
      <c r="AK74" s="187">
        <f t="shared" ref="AK74" si="252">+(AK69*AK80)*(AJ74/AJ79)</f>
        <v>96.976229366881626</v>
      </c>
      <c r="AL74" s="188"/>
    </row>
    <row r="75" spans="1:38" ht="17.25" outlineLevel="1" x14ac:dyDescent="0.4">
      <c r="A75" s="293"/>
      <c r="B75" s="50" t="s">
        <v>169</v>
      </c>
      <c r="C75" s="39"/>
      <c r="D75" s="330">
        <v>22.9</v>
      </c>
      <c r="E75" s="330">
        <v>18.2</v>
      </c>
      <c r="F75" s="330">
        <v>15.1</v>
      </c>
      <c r="G75" s="330">
        <v>0.7</v>
      </c>
      <c r="H75" s="378"/>
      <c r="I75" s="330">
        <v>5.2</v>
      </c>
      <c r="J75" s="330">
        <v>0.5</v>
      </c>
      <c r="K75" s="330">
        <v>56.2</v>
      </c>
      <c r="L75" s="225">
        <f>+(L69*L80)*3.49231296649216%</f>
        <v>120.93155310419488</v>
      </c>
      <c r="M75" s="466"/>
      <c r="N75" s="225">
        <f>+(N69*N80)*(3.49231296649216%-1.86148189857905%)</f>
        <v>58.679085238102601</v>
      </c>
      <c r="O75" s="225">
        <f>+(O69*O80)*(N75/N79)</f>
        <v>59.89523698234548</v>
      </c>
      <c r="P75" s="225">
        <f t="shared" ref="P75" si="253">+(P69*P80)*(O75/O79)</f>
        <v>59.983821745972989</v>
      </c>
      <c r="Q75" s="225">
        <f>+(Q69*Q80)*(P75/P79)</f>
        <v>61.880672562163596</v>
      </c>
      <c r="R75" s="235"/>
      <c r="S75" s="225">
        <f>+(S69*S80)*(Q75/Q79)</f>
        <v>66.093681413418537</v>
      </c>
      <c r="T75" s="225">
        <f>+(T69*T80)*(S75/S79)</f>
        <v>62.885267810922414</v>
      </c>
      <c r="U75" s="225">
        <f t="shared" ref="U75" si="254">+(U69*U80)*(T75/T79)</f>
        <v>62.385688949653577</v>
      </c>
      <c r="V75" s="225">
        <f>+(V69*V80)*(U75/U79)</f>
        <v>64.818454381733545</v>
      </c>
      <c r="W75" s="235"/>
      <c r="X75" s="225">
        <f>+(X69*X80)*(V75/V79)</f>
        <v>69.689337383592971</v>
      </c>
      <c r="Y75" s="225">
        <f>+(Y69*Y80)*(X75/X79)</f>
        <v>66.390700658721727</v>
      </c>
      <c r="Z75" s="225">
        <f t="shared" ref="Z75" si="255">+(Z69*Z80)*(Y75/Y79)</f>
        <v>65.948989955978632</v>
      </c>
      <c r="AA75" s="225">
        <f>+(AA69*AA80)*(Z75/Z79)</f>
        <v>68.672738330590661</v>
      </c>
      <c r="AB75" s="235"/>
      <c r="AC75" s="225">
        <f>+(AC69*AC80)*(AA75/AA79)</f>
        <v>72.96142565518376</v>
      </c>
      <c r="AD75" s="225">
        <f>+(AD69*AD80)*(AC75/AC79)</f>
        <v>69.579013583838488</v>
      </c>
      <c r="AE75" s="225">
        <f t="shared" ref="AE75" si="256">+(AE69*AE80)*(AD75/AD79)</f>
        <v>69.661462336241073</v>
      </c>
      <c r="AF75" s="225">
        <f>+(AF69*AF80)*(AE75/AE79)</f>
        <v>72.089384855541724</v>
      </c>
      <c r="AG75" s="235"/>
      <c r="AH75" s="225">
        <f>+(AH69*AH80)*(AF75/AF79)</f>
        <v>77.165775238566766</v>
      </c>
      <c r="AI75" s="225">
        <f>+(AI69*AI80)*(AH75/AH79)</f>
        <v>73.594481705823057</v>
      </c>
      <c r="AJ75" s="225">
        <f t="shared" ref="AJ75" si="257">+(AJ69*AJ80)*(AI75/AI79)</f>
        <v>73.694293548059576</v>
      </c>
      <c r="AK75" s="225">
        <f>+(AK69*AK80)*(AJ75/AJ79)</f>
        <v>76.764669355758159</v>
      </c>
      <c r="AL75" s="235"/>
    </row>
    <row r="76" spans="1:38" outlineLevel="1" x14ac:dyDescent="0.25">
      <c r="A76" s="293"/>
      <c r="B76" s="185" t="s">
        <v>258</v>
      </c>
      <c r="C76" s="42"/>
      <c r="D76" s="298">
        <f t="shared" ref="D76" si="258">SUM(D70:D75)</f>
        <v>3643.7999999999997</v>
      </c>
      <c r="E76" s="298">
        <f t="shared" ref="E76" si="259">SUM(E70:E75)</f>
        <v>3457.7</v>
      </c>
      <c r="F76" s="298">
        <f t="shared" ref="F76" si="260">SUM(F70:F75)</f>
        <v>3662.3999999999996</v>
      </c>
      <c r="G76" s="298">
        <f t="shared" ref="G76" si="261">SUM(G70:G75)</f>
        <v>3712.4999999999995</v>
      </c>
      <c r="H76" s="377"/>
      <c r="I76" s="298">
        <f t="shared" ref="I76" si="262">SUM(I70:I75)</f>
        <v>3912.1</v>
      </c>
      <c r="J76" s="298">
        <f t="shared" ref="J76" si="263">SUM(J70:J75)</f>
        <v>3708.8</v>
      </c>
      <c r="K76" s="298">
        <f t="shared" ref="K76" si="264">SUM(K70:K75)</f>
        <v>3210.3999999999996</v>
      </c>
      <c r="L76" s="189">
        <f t="shared" ref="L76" si="265">SUM(L70:L75)</f>
        <v>3658.0643959124764</v>
      </c>
      <c r="M76" s="18"/>
      <c r="N76" s="189">
        <f t="shared" ref="N76" si="266">SUM(N70:N75)</f>
        <v>3793.6637663800279</v>
      </c>
      <c r="O76" s="189">
        <f t="shared" ref="O76" si="267">SUM(O70:O75)</f>
        <v>3871.0078003440417</v>
      </c>
      <c r="P76" s="189">
        <f t="shared" ref="P76" si="268">SUM(P70:P75)</f>
        <v>3877.9579232187416</v>
      </c>
      <c r="Q76" s="189">
        <f t="shared" ref="Q76" si="269">SUM(Q70:Q75)</f>
        <v>3995.8432891477446</v>
      </c>
      <c r="R76" s="18"/>
      <c r="S76" s="189">
        <f t="shared" ref="S76" si="270">SUM(S70:S75)</f>
        <v>4256.5172561611562</v>
      </c>
      <c r="T76" s="189">
        <f t="shared" ref="T76" si="271">SUM(T70:T75)</f>
        <v>4062.6250952271762</v>
      </c>
      <c r="U76" s="189">
        <f t="shared" ref="U76" si="272">SUM(U70:U75)</f>
        <v>4033.1920535513432</v>
      </c>
      <c r="V76" s="189">
        <f t="shared" ref="V76" si="273">SUM(V70:V75)</f>
        <v>4183.8284801080517</v>
      </c>
      <c r="W76" s="18"/>
      <c r="X76" s="189">
        <f t="shared" ref="X76" si="274">SUM(X70:X75)</f>
        <v>4484.5450158890944</v>
      </c>
      <c r="Y76" s="189">
        <f t="shared" ref="Y76" si="275">SUM(Y70:Y75)</f>
        <v>4282.9030604182572</v>
      </c>
      <c r="Z76" s="189">
        <f t="shared" ref="Z76" si="276">SUM(Z70:Z75)</f>
        <v>4255.2404529758369</v>
      </c>
      <c r="AA76" s="189">
        <f t="shared" ref="AA76" si="277">SUM(AA70:AA75)</f>
        <v>4422.0210983436482</v>
      </c>
      <c r="AB76" s="18"/>
      <c r="AC76" s="189">
        <f t="shared" ref="AC76:AF76" si="278">SUM(AC70:AC75)</f>
        <v>4685.2953731250973</v>
      </c>
      <c r="AD76" s="189">
        <f t="shared" si="278"/>
        <v>4479.3568182494901</v>
      </c>
      <c r="AE76" s="189">
        <f t="shared" si="278"/>
        <v>4484.5734857553634</v>
      </c>
      <c r="AF76" s="189">
        <f t="shared" si="278"/>
        <v>4633.9351194788524</v>
      </c>
      <c r="AG76" s="18"/>
      <c r="AH76" s="189">
        <f t="shared" ref="AH76:AK76" si="279">SUM(AH70:AH75)</f>
        <v>4946.2163314872905</v>
      </c>
      <c r="AI76" s="189">
        <f t="shared" si="279"/>
        <v>4729.4698121283745</v>
      </c>
      <c r="AJ76" s="189">
        <f t="shared" si="279"/>
        <v>4736.3904603408491</v>
      </c>
      <c r="AK76" s="189">
        <f t="shared" si="279"/>
        <v>4925.7850615638708</v>
      </c>
      <c r="AL76" s="18"/>
    </row>
    <row r="77" spans="1:38" outlineLevel="1" x14ac:dyDescent="0.25">
      <c r="A77" s="293"/>
      <c r="B77" s="185" t="s">
        <v>259</v>
      </c>
      <c r="C77" s="161"/>
      <c r="D77" s="442">
        <f t="shared" ref="D77" si="280">+D69-D76</f>
        <v>968.70000000000027</v>
      </c>
      <c r="E77" s="442">
        <f t="shared" ref="E77" si="281">+E69-E76</f>
        <v>856.40000000000055</v>
      </c>
      <c r="F77" s="442">
        <f t="shared" ref="F77" si="282">+F69-F76</f>
        <v>1018.6999999999998</v>
      </c>
      <c r="G77" s="442">
        <f t="shared" ref="G77" si="283">+G69-G76</f>
        <v>938.90000000000009</v>
      </c>
      <c r="H77" s="379">
        <f>SUM(D77:G77)</f>
        <v>3782.7000000000007</v>
      </c>
      <c r="I77" s="442">
        <f t="shared" ref="I77" si="284">+I69-I76</f>
        <v>1098.7999999999997</v>
      </c>
      <c r="J77" s="442">
        <f t="shared" ref="J77" si="285">+J69-J76</f>
        <v>621.19999999999982</v>
      </c>
      <c r="K77" s="442">
        <f t="shared" ref="K77" si="286">+K69-K76</f>
        <v>-404.89999999999964</v>
      </c>
      <c r="L77" s="226">
        <f t="shared" ref="L77" si="287">+L69-L76</f>
        <v>564.85334372346188</v>
      </c>
      <c r="M77" s="265">
        <f>SUM(I77:L77)</f>
        <v>1879.9533437234618</v>
      </c>
      <c r="N77" s="226">
        <f t="shared" ref="N77" si="288">+N69-N76</f>
        <v>972.04399015227273</v>
      </c>
      <c r="O77" s="226">
        <f t="shared" ref="O77" si="289">+O69-O76</f>
        <v>1025.9013613543425</v>
      </c>
      <c r="P77" s="226">
        <f t="shared" ref="P77" si="290">+P69-P76</f>
        <v>1026.1937432671657</v>
      </c>
      <c r="Q77" s="226">
        <f t="shared" ref="Q77" si="291">+Q69-Q76</f>
        <v>1097.3455203380759</v>
      </c>
      <c r="R77" s="265">
        <f>SUM(N77:Q77)</f>
        <v>4121.4846151118563</v>
      </c>
      <c r="S77" s="226">
        <f t="shared" ref="S77" si="292">+S69-S76</f>
        <v>1183.4300588001925</v>
      </c>
      <c r="T77" s="226">
        <f t="shared" ref="T77" si="293">+T69-T76</f>
        <v>1113.2485505280133</v>
      </c>
      <c r="U77" s="226">
        <f t="shared" ref="U77" si="294">+U69-U76</f>
        <v>1136.2572368022043</v>
      </c>
      <c r="V77" s="226">
        <f t="shared" ref="V77" si="295">+V69-V76</f>
        <v>1187.2064262448894</v>
      </c>
      <c r="W77" s="265">
        <f>SUM(S77:V77)</f>
        <v>4620.1422723752994</v>
      </c>
      <c r="X77" s="226">
        <f t="shared" ref="X77" si="296">+X69-X76</f>
        <v>1290.1046152716135</v>
      </c>
      <c r="Y77" s="226">
        <f t="shared" ref="Y77" si="297">+Y69-Y76</f>
        <v>1218.4124846144405</v>
      </c>
      <c r="Z77" s="226">
        <f t="shared" ref="Z77" si="298">+Z69-Z76</f>
        <v>1246.6486581831805</v>
      </c>
      <c r="AA77" s="226">
        <f t="shared" ref="AA77" si="299">+AA69-AA76</f>
        <v>1307.1006290209871</v>
      </c>
      <c r="AB77" s="265">
        <f>SUM(X77:AA77)</f>
        <v>5062.2663870902215</v>
      </c>
      <c r="AC77" s="226">
        <f t="shared" ref="AC77:AF77" si="300">+AC69-AC76</f>
        <v>1443.3074232182307</v>
      </c>
      <c r="AD77" s="226">
        <f t="shared" si="300"/>
        <v>1365.1306405345158</v>
      </c>
      <c r="AE77" s="226">
        <f t="shared" si="300"/>
        <v>1366.8394908620985</v>
      </c>
      <c r="AF77" s="226">
        <f t="shared" si="300"/>
        <v>1463.1791825405417</v>
      </c>
      <c r="AG77" s="265">
        <f>SUM(AC77:AF77)</f>
        <v>5638.4567371553867</v>
      </c>
      <c r="AH77" s="226">
        <f t="shared" ref="AH77:AK77" si="301">+AH69-AH76</f>
        <v>1580.2445722405018</v>
      </c>
      <c r="AI77" s="226">
        <f t="shared" si="301"/>
        <v>1494.9412833116276</v>
      </c>
      <c r="AJ77" s="226">
        <f t="shared" si="301"/>
        <v>1496.4624356781278</v>
      </c>
      <c r="AK77" s="226">
        <f t="shared" si="301"/>
        <v>1566.7514520529912</v>
      </c>
      <c r="AL77" s="265">
        <f>SUM(AH77:AK77)</f>
        <v>6138.3997432832484</v>
      </c>
    </row>
    <row r="78" spans="1:38" outlineLevel="1" x14ac:dyDescent="0.25">
      <c r="A78" s="293"/>
      <c r="B78" s="185" t="s">
        <v>260</v>
      </c>
      <c r="C78" s="161"/>
      <c r="D78" s="443">
        <f t="shared" ref="D78" si="302">+D77/D69</f>
        <v>0.21001626016260169</v>
      </c>
      <c r="E78" s="443">
        <f t="shared" ref="E78" si="303">+E77/E69</f>
        <v>0.19851185647064287</v>
      </c>
      <c r="F78" s="443">
        <f t="shared" ref="F78" si="304">+F77/F69</f>
        <v>0.21761979022024736</v>
      </c>
      <c r="G78" s="443">
        <f t="shared" ref="G78" si="305">+G77/G69</f>
        <v>0.20185320548652022</v>
      </c>
      <c r="H78" s="380">
        <f>H77/H69</f>
        <v>0.20716793270205</v>
      </c>
      <c r="I78" s="443">
        <f t="shared" ref="I78" si="306">+I77/I69</f>
        <v>0.21928196531561192</v>
      </c>
      <c r="J78" s="443">
        <f t="shared" ref="J78" si="307">+J77/J69</f>
        <v>0.14346420323325632</v>
      </c>
      <c r="K78" s="443">
        <f t="shared" ref="K78" si="308">+K77/K69</f>
        <v>-0.14432364997326666</v>
      </c>
      <c r="L78" s="227">
        <f t="shared" ref="L78" si="309">+L77/L69</f>
        <v>0.13375902126195771</v>
      </c>
      <c r="M78" s="266">
        <f>M77/M69</f>
        <v>0.11484616363523974</v>
      </c>
      <c r="N78" s="227">
        <f t="shared" ref="N78" si="310">+N77/N69</f>
        <v>0.20396634452037124</v>
      </c>
      <c r="O78" s="227">
        <f t="shared" ref="O78" si="311">+O77/O69</f>
        <v>0.20949977373044254</v>
      </c>
      <c r="P78" s="227">
        <f t="shared" ref="P78" si="312">+P77/P69</f>
        <v>0.20925000143857492</v>
      </c>
      <c r="Q78" s="227">
        <f t="shared" ref="Q78" si="313">+Q77/Q69</f>
        <v>0.21545353243027676</v>
      </c>
      <c r="R78" s="486">
        <f>R77/R69</f>
        <v>0.20963853239718891</v>
      </c>
      <c r="S78" s="227">
        <f t="shared" ref="S78" si="314">+S77/S69</f>
        <v>0.21754439708366935</v>
      </c>
      <c r="T78" s="227">
        <f t="shared" ref="T78" si="315">+T77/T69</f>
        <v>0.2150841822502767</v>
      </c>
      <c r="U78" s="227">
        <f t="shared" ref="U78" si="316">+U77/U69</f>
        <v>0.2198023760330752</v>
      </c>
      <c r="V78" s="227">
        <f t="shared" ref="V78" si="317">+V77/V69</f>
        <v>0.22103867261049517</v>
      </c>
      <c r="W78" s="266">
        <f>W77/W69</f>
        <v>0.21838134012518007</v>
      </c>
      <c r="X78" s="227">
        <f t="shared" ref="X78" si="318">+X77/X69</f>
        <v>0.22340829274040333</v>
      </c>
      <c r="Y78" s="227">
        <f t="shared" ref="Y78" si="319">+Y77/Y69</f>
        <v>0.22147656767563198</v>
      </c>
      <c r="Z78" s="227">
        <f t="shared" ref="Z78" si="320">+Z77/Z69</f>
        <v>0.22658556597491364</v>
      </c>
      <c r="AA78" s="227">
        <f t="shared" ref="AA78" si="321">+AA77/AA69</f>
        <v>0.22815026302857877</v>
      </c>
      <c r="AB78" s="266">
        <f>AB77/AB69</f>
        <v>0.22491988189706436</v>
      </c>
      <c r="AC78" s="227">
        <f t="shared" ref="AC78:AF78" si="322">+AC77/AC69</f>
        <v>0.23550350237731019</v>
      </c>
      <c r="AD78" s="227">
        <f t="shared" si="322"/>
        <v>0.23357576693620669</v>
      </c>
      <c r="AE78" s="227">
        <f t="shared" si="322"/>
        <v>0.23359135585269017</v>
      </c>
      <c r="AF78" s="227">
        <f t="shared" si="322"/>
        <v>0.23997896546829203</v>
      </c>
      <c r="AG78" s="266">
        <f>AG77/AG69</f>
        <v>0.23570549646975089</v>
      </c>
      <c r="AH78" s="227">
        <f t="shared" ref="AH78:AK78" si="323">+AH77/AH69</f>
        <v>0.24212886517682128</v>
      </c>
      <c r="AI78" s="227">
        <f t="shared" si="323"/>
        <v>0.24017393137911797</v>
      </c>
      <c r="AJ78" s="227">
        <f t="shared" si="323"/>
        <v>0.24009269280748505</v>
      </c>
      <c r="AK78" s="227">
        <f t="shared" si="323"/>
        <v>0.2413157706186215</v>
      </c>
      <c r="AL78" s="266">
        <f>AL77/AL69</f>
        <v>0.24094586112081776</v>
      </c>
    </row>
    <row r="79" spans="1:38" s="228" customFormat="1" outlineLevel="1" x14ac:dyDescent="0.25">
      <c r="A79" s="309"/>
      <c r="B79" s="231" t="s">
        <v>190</v>
      </c>
      <c r="C79" s="229"/>
      <c r="D79" s="332">
        <f t="shared" ref="D79:G79" si="324">+D76-D73</f>
        <v>3476.8999999999996</v>
      </c>
      <c r="E79" s="332">
        <f t="shared" si="324"/>
        <v>3284.7</v>
      </c>
      <c r="F79" s="332">
        <f t="shared" si="324"/>
        <v>3486.7999999999997</v>
      </c>
      <c r="G79" s="332">
        <f t="shared" si="324"/>
        <v>3531.8999999999996</v>
      </c>
      <c r="H79" s="373"/>
      <c r="I79" s="332">
        <f t="shared" ref="I79" si="325">+I76-I73</f>
        <v>3722.9</v>
      </c>
      <c r="J79" s="332">
        <f t="shared" ref="J79:L79" si="326">+J76-J73</f>
        <v>3517.3</v>
      </c>
      <c r="K79" s="332">
        <f t="shared" si="326"/>
        <v>3019.0999999999995</v>
      </c>
      <c r="L79" s="207">
        <f t="shared" si="326"/>
        <v>3462.792546501471</v>
      </c>
      <c r="M79" s="230"/>
      <c r="N79" s="207">
        <f>+N76-N73</f>
        <v>3598.1093561818893</v>
      </c>
      <c r="O79" s="207">
        <f t="shared" ref="O79:Q79" si="327">+O76-O73</f>
        <v>3672.6818712737881</v>
      </c>
      <c r="P79" s="207">
        <f t="shared" si="327"/>
        <v>3678.1137498644293</v>
      </c>
      <c r="Q79" s="207">
        <f t="shared" si="327"/>
        <v>3794.4256630669361</v>
      </c>
      <c r="R79" s="230"/>
      <c r="S79" s="207">
        <f t="shared" ref="S79:V79" si="328">+S76-S73</f>
        <v>4052.7607496462037</v>
      </c>
      <c r="T79" s="207">
        <f t="shared" si="328"/>
        <v>3856.0258660876166</v>
      </c>
      <c r="U79" s="207">
        <f t="shared" si="328"/>
        <v>3825.3924748616255</v>
      </c>
      <c r="V79" s="207">
        <f t="shared" si="328"/>
        <v>3974.5658307011768</v>
      </c>
      <c r="W79" s="230"/>
      <c r="X79" s="207">
        <f t="shared" ref="X79:AA79" si="329">+X76-X73</f>
        <v>4273.2407270589229</v>
      </c>
      <c r="Y79" s="207">
        <f t="shared" si="329"/>
        <v>4070.9735033241964</v>
      </c>
      <c r="Z79" s="207">
        <f t="shared" si="329"/>
        <v>4043.888496701878</v>
      </c>
      <c r="AA79" s="207">
        <f t="shared" si="329"/>
        <v>4210.9044696130068</v>
      </c>
      <c r="AB79" s="230"/>
      <c r="AC79" s="207">
        <f t="shared" ref="AC79:AF79" si="330">+AC76-AC73</f>
        <v>4473.8800413306299</v>
      </c>
      <c r="AD79" s="207">
        <f t="shared" si="330"/>
        <v>4266.4758449123237</v>
      </c>
      <c r="AE79" s="207">
        <f t="shared" si="330"/>
        <v>4271.5314729307465</v>
      </c>
      <c r="AF79" s="207">
        <f t="shared" si="330"/>
        <v>4420.4078689640601</v>
      </c>
      <c r="AG79" s="230"/>
      <c r="AH79" s="207">
        <f t="shared" ref="AH79:AK79" si="331">+AH76-AH73</f>
        <v>4731.684155202649</v>
      </c>
      <c r="AI79" s="207">
        <f t="shared" si="331"/>
        <v>4512.6980441940032</v>
      </c>
      <c r="AJ79" s="207">
        <f t="shared" si="331"/>
        <v>4518.8183496137563</v>
      </c>
      <c r="AK79" s="207">
        <f t="shared" si="331"/>
        <v>4707.0889723722257</v>
      </c>
      <c r="AL79" s="230"/>
    </row>
    <row r="80" spans="1:38" s="228" customFormat="1" outlineLevel="1" x14ac:dyDescent="0.25">
      <c r="A80" s="309"/>
      <c r="B80" s="231" t="s">
        <v>191</v>
      </c>
      <c r="C80" s="229"/>
      <c r="D80" s="232">
        <f t="shared" ref="D80:K80" si="332">+D79/D69</f>
        <v>0.75379945799457981</v>
      </c>
      <c r="E80" s="232">
        <f t="shared" si="332"/>
        <v>0.76138707957627305</v>
      </c>
      <c r="F80" s="323">
        <f t="shared" si="332"/>
        <v>0.74486765931084575</v>
      </c>
      <c r="G80" s="323">
        <f t="shared" si="332"/>
        <v>0.7593197746914907</v>
      </c>
      <c r="H80" s="230"/>
      <c r="I80" s="323">
        <f t="shared" si="332"/>
        <v>0.74296034644475051</v>
      </c>
      <c r="J80" s="323">
        <f t="shared" si="332"/>
        <v>0.81230946882217092</v>
      </c>
      <c r="K80" s="323">
        <f t="shared" si="332"/>
        <v>1.076136161112101</v>
      </c>
      <c r="L80" s="482">
        <v>0.82</v>
      </c>
      <c r="M80" s="230"/>
      <c r="N80" s="482">
        <v>0.755</v>
      </c>
      <c r="O80" s="482">
        <v>0.75</v>
      </c>
      <c r="P80" s="482">
        <v>0.75</v>
      </c>
      <c r="Q80" s="482">
        <v>0.745</v>
      </c>
      <c r="R80" s="230"/>
      <c r="S80" s="482">
        <v>0.745</v>
      </c>
      <c r="T80" s="482">
        <v>0.745</v>
      </c>
      <c r="U80" s="482">
        <v>0.74</v>
      </c>
      <c r="V80" s="482">
        <v>0.74</v>
      </c>
      <c r="W80" s="230"/>
      <c r="X80" s="482">
        <v>0.74</v>
      </c>
      <c r="Y80" s="482">
        <v>0.74</v>
      </c>
      <c r="Z80" s="482">
        <v>0.73499999999999999</v>
      </c>
      <c r="AA80" s="482">
        <v>0.73499999999999999</v>
      </c>
      <c r="AB80" s="230"/>
      <c r="AC80" s="482">
        <v>0.73</v>
      </c>
      <c r="AD80" s="482">
        <v>0.73</v>
      </c>
      <c r="AE80" s="482">
        <v>0.73</v>
      </c>
      <c r="AF80" s="482">
        <v>0.72499999999999998</v>
      </c>
      <c r="AG80" s="230"/>
      <c r="AH80" s="482">
        <v>0.72499999999999998</v>
      </c>
      <c r="AI80" s="482">
        <v>0.72499999999999998</v>
      </c>
      <c r="AJ80" s="482">
        <v>0.72499999999999998</v>
      </c>
      <c r="AK80" s="482">
        <v>0.72499999999999998</v>
      </c>
      <c r="AL80" s="230"/>
    </row>
    <row r="81" spans="1:38" ht="18" x14ac:dyDescent="0.4">
      <c r="A81" s="293"/>
      <c r="B81" s="512" t="s">
        <v>330</v>
      </c>
      <c r="C81" s="513"/>
      <c r="D81" s="35" t="s">
        <v>123</v>
      </c>
      <c r="E81" s="35" t="s">
        <v>281</v>
      </c>
      <c r="F81" s="35" t="s">
        <v>285</v>
      </c>
      <c r="G81" s="35" t="s">
        <v>295</v>
      </c>
      <c r="H81" s="102" t="s">
        <v>296</v>
      </c>
      <c r="I81" s="35" t="s">
        <v>297</v>
      </c>
      <c r="J81" s="35" t="s">
        <v>298</v>
      </c>
      <c r="K81" s="35" t="s">
        <v>299</v>
      </c>
      <c r="L81" s="33" t="s">
        <v>141</v>
      </c>
      <c r="M81" s="105" t="s">
        <v>142</v>
      </c>
      <c r="N81" s="33" t="s">
        <v>143</v>
      </c>
      <c r="O81" s="33" t="s">
        <v>144</v>
      </c>
      <c r="P81" s="33" t="s">
        <v>145</v>
      </c>
      <c r="Q81" s="33" t="s">
        <v>146</v>
      </c>
      <c r="R81" s="105" t="s">
        <v>147</v>
      </c>
      <c r="S81" s="33" t="s">
        <v>148</v>
      </c>
      <c r="T81" s="33" t="s">
        <v>149</v>
      </c>
      <c r="U81" s="33" t="s">
        <v>150</v>
      </c>
      <c r="V81" s="33" t="s">
        <v>151</v>
      </c>
      <c r="W81" s="105" t="s">
        <v>152</v>
      </c>
      <c r="X81" s="33" t="s">
        <v>153</v>
      </c>
      <c r="Y81" s="33" t="s">
        <v>154</v>
      </c>
      <c r="Z81" s="33" t="s">
        <v>155</v>
      </c>
      <c r="AA81" s="33" t="s">
        <v>156</v>
      </c>
      <c r="AB81" s="105" t="s">
        <v>157</v>
      </c>
      <c r="AC81" s="33" t="s">
        <v>290</v>
      </c>
      <c r="AD81" s="33" t="s">
        <v>291</v>
      </c>
      <c r="AE81" s="33" t="s">
        <v>292</v>
      </c>
      <c r="AF81" s="33" t="s">
        <v>293</v>
      </c>
      <c r="AG81" s="105" t="s">
        <v>294</v>
      </c>
      <c r="AH81" s="33" t="s">
        <v>323</v>
      </c>
      <c r="AI81" s="33" t="s">
        <v>324</v>
      </c>
      <c r="AJ81" s="33" t="s">
        <v>325</v>
      </c>
      <c r="AK81" s="33" t="s">
        <v>326</v>
      </c>
      <c r="AL81" s="105" t="s">
        <v>327</v>
      </c>
    </row>
    <row r="82" spans="1:38" s="20" customFormat="1" outlineLevel="1" x14ac:dyDescent="0.25">
      <c r="A82" s="308"/>
      <c r="B82" s="504" t="s">
        <v>331</v>
      </c>
      <c r="C82" s="505"/>
      <c r="D82" s="44">
        <v>5839</v>
      </c>
      <c r="E82" s="44">
        <v>5879</v>
      </c>
      <c r="F82" s="325">
        <v>5646</v>
      </c>
      <c r="G82" s="44">
        <v>5860</v>
      </c>
      <c r="H82" s="196"/>
      <c r="I82" s="44">
        <v>6059</v>
      </c>
      <c r="J82" s="44">
        <v>6137</v>
      </c>
      <c r="K82" s="44">
        <v>6254</v>
      </c>
      <c r="L82" s="44">
        <f t="shared" ref="L82" si="333">+K82+L83</f>
        <v>6429</v>
      </c>
      <c r="M82" s="196"/>
      <c r="N82" s="44">
        <f>+L82+N83</f>
        <v>6529</v>
      </c>
      <c r="O82" s="44">
        <f>+N82+O83</f>
        <v>6629</v>
      </c>
      <c r="P82" s="44">
        <f t="shared" ref="P82" si="334">+O82+P83</f>
        <v>6729</v>
      </c>
      <c r="Q82" s="44">
        <f t="shared" ref="Q82" si="335">+P82+Q83</f>
        <v>6829</v>
      </c>
      <c r="R82" s="196"/>
      <c r="S82" s="44">
        <f>+Q82+S83</f>
        <v>6904</v>
      </c>
      <c r="T82" s="44">
        <f>+S82+T83</f>
        <v>6979</v>
      </c>
      <c r="U82" s="44">
        <f t="shared" ref="U82" si="336">+T82+U83</f>
        <v>7054</v>
      </c>
      <c r="V82" s="44">
        <f t="shared" ref="V82" si="337">+U82+V83</f>
        <v>7129</v>
      </c>
      <c r="W82" s="196"/>
      <c r="X82" s="44">
        <f>+V82+X83</f>
        <v>7204</v>
      </c>
      <c r="Y82" s="44">
        <f>+X82+Y83</f>
        <v>7279</v>
      </c>
      <c r="Z82" s="44">
        <f t="shared" ref="Z82" si="338">+Y82+Z83</f>
        <v>7354</v>
      </c>
      <c r="AA82" s="44">
        <f t="shared" ref="AA82" si="339">+Z82+AA83</f>
        <v>7429</v>
      </c>
      <c r="AB82" s="196"/>
      <c r="AC82" s="44">
        <f>+AA82+AC83</f>
        <v>7529</v>
      </c>
      <c r="AD82" s="44">
        <f>+AC82+AD83</f>
        <v>7629</v>
      </c>
      <c r="AE82" s="44">
        <f t="shared" ref="AE82" si="340">+AD82+AE83</f>
        <v>7729</v>
      </c>
      <c r="AF82" s="44">
        <f t="shared" ref="AF82" si="341">+AE82+AF83</f>
        <v>7829</v>
      </c>
      <c r="AG82" s="196"/>
      <c r="AH82" s="44">
        <f>+AF82+AH83</f>
        <v>7929</v>
      </c>
      <c r="AI82" s="44">
        <f>+AH82+AI83</f>
        <v>8029</v>
      </c>
      <c r="AJ82" s="44">
        <f t="shared" ref="AJ82" si="342">+AI82+AJ83</f>
        <v>8129</v>
      </c>
      <c r="AK82" s="44">
        <f t="shared" ref="AK82" si="343">+AJ82+AK83</f>
        <v>8229</v>
      </c>
      <c r="AL82" s="196"/>
    </row>
    <row r="83" spans="1:38" outlineLevel="1" x14ac:dyDescent="0.25">
      <c r="A83" s="293"/>
      <c r="B83" s="50" t="s">
        <v>175</v>
      </c>
      <c r="C83" s="83"/>
      <c r="D83" s="37">
        <f>+D82-5651</f>
        <v>188</v>
      </c>
      <c r="E83" s="295">
        <f>+E82-D82</f>
        <v>40</v>
      </c>
      <c r="F83" s="295">
        <f t="shared" ref="F83:G83" si="344">+F82-E82</f>
        <v>-233</v>
      </c>
      <c r="G83" s="295">
        <f t="shared" si="344"/>
        <v>214</v>
      </c>
      <c r="H83" s="333">
        <f>+SUM(D83:G83)</f>
        <v>209</v>
      </c>
      <c r="I83" s="295">
        <f>+I82-G82</f>
        <v>199</v>
      </c>
      <c r="J83" s="295">
        <f t="shared" ref="J83:K83" si="345">+J82-I82</f>
        <v>78</v>
      </c>
      <c r="K83" s="295">
        <f t="shared" si="345"/>
        <v>117</v>
      </c>
      <c r="L83" s="70">
        <v>175</v>
      </c>
      <c r="M83" s="55">
        <f>+SUM(I83:L83)</f>
        <v>569</v>
      </c>
      <c r="N83" s="70">
        <v>100</v>
      </c>
      <c r="O83" s="70">
        <v>100</v>
      </c>
      <c r="P83" s="70">
        <v>100</v>
      </c>
      <c r="Q83" s="70">
        <v>100</v>
      </c>
      <c r="R83" s="55">
        <f>+SUM(N83:Q83)</f>
        <v>400</v>
      </c>
      <c r="S83" s="70">
        <v>75</v>
      </c>
      <c r="T83" s="70">
        <v>75</v>
      </c>
      <c r="U83" s="70">
        <v>75</v>
      </c>
      <c r="V83" s="70">
        <v>75</v>
      </c>
      <c r="W83" s="55">
        <f>+SUM(S83:V83)</f>
        <v>300</v>
      </c>
      <c r="X83" s="70">
        <v>75</v>
      </c>
      <c r="Y83" s="70">
        <v>75</v>
      </c>
      <c r="Z83" s="70">
        <v>75</v>
      </c>
      <c r="AA83" s="70">
        <v>75</v>
      </c>
      <c r="AB83" s="55">
        <f>+SUM(X83:AA83)</f>
        <v>300</v>
      </c>
      <c r="AC83" s="70">
        <v>100</v>
      </c>
      <c r="AD83" s="70">
        <v>100</v>
      </c>
      <c r="AE83" s="70">
        <v>100</v>
      </c>
      <c r="AF83" s="70">
        <v>100</v>
      </c>
      <c r="AG83" s="55">
        <f>+SUM(AC83:AF83)</f>
        <v>400</v>
      </c>
      <c r="AH83" s="70">
        <f>AVERAGE(AC83,AD83,AE83,AF83)</f>
        <v>100</v>
      </c>
      <c r="AI83" s="70">
        <f>AVERAGE(AD83,AE83,AF83,AH83)</f>
        <v>100</v>
      </c>
      <c r="AJ83" s="70">
        <f>AVERAGE(AE83,AF83,AH83,AI83)</f>
        <v>100</v>
      </c>
      <c r="AK83" s="70">
        <f>AVERAGE(AF83,AH83,AI83,AJ83)</f>
        <v>100</v>
      </c>
      <c r="AL83" s="55">
        <f>+SUM(AH83:AK83)</f>
        <v>400</v>
      </c>
    </row>
    <row r="84" spans="1:38" s="204" customFormat="1" outlineLevel="1" x14ac:dyDescent="0.25">
      <c r="A84" s="312"/>
      <c r="B84" s="205" t="s">
        <v>176</v>
      </c>
      <c r="C84" s="206"/>
      <c r="D84" s="332">
        <v>5186</v>
      </c>
      <c r="E84" s="332">
        <v>5313</v>
      </c>
      <c r="F84" s="332">
        <v>5476</v>
      </c>
      <c r="G84" s="332">
        <v>5651</v>
      </c>
      <c r="H84" s="373"/>
      <c r="I84" s="332">
        <f>D82</f>
        <v>5839</v>
      </c>
      <c r="J84" s="332">
        <f>E82</f>
        <v>5879</v>
      </c>
      <c r="K84" s="332">
        <f>F82</f>
        <v>5646</v>
      </c>
      <c r="L84" s="208">
        <f>G82</f>
        <v>5860</v>
      </c>
      <c r="M84" s="209"/>
      <c r="N84" s="208">
        <f>I82</f>
        <v>6059</v>
      </c>
      <c r="O84" s="208">
        <f>J82</f>
        <v>6137</v>
      </c>
      <c r="P84" s="208">
        <f>K82</f>
        <v>6254</v>
      </c>
      <c r="Q84" s="208">
        <f>L82</f>
        <v>6429</v>
      </c>
      <c r="R84" s="209"/>
      <c r="S84" s="208">
        <f>N82</f>
        <v>6529</v>
      </c>
      <c r="T84" s="208">
        <f>O82</f>
        <v>6629</v>
      </c>
      <c r="U84" s="208">
        <f>P82</f>
        <v>6729</v>
      </c>
      <c r="V84" s="208">
        <f>Q82</f>
        <v>6829</v>
      </c>
      <c r="W84" s="209"/>
      <c r="X84" s="208">
        <f>S82</f>
        <v>6904</v>
      </c>
      <c r="Y84" s="208">
        <f>T82</f>
        <v>6979</v>
      </c>
      <c r="Z84" s="208">
        <f>U82</f>
        <v>7054</v>
      </c>
      <c r="AA84" s="208">
        <f>V82</f>
        <v>7129</v>
      </c>
      <c r="AB84" s="209"/>
      <c r="AC84" s="208">
        <f>X82</f>
        <v>7204</v>
      </c>
      <c r="AD84" s="208">
        <f>Y82</f>
        <v>7279</v>
      </c>
      <c r="AE84" s="208">
        <f>Z82</f>
        <v>7354</v>
      </c>
      <c r="AF84" s="208">
        <f>AA82</f>
        <v>7429</v>
      </c>
      <c r="AG84" s="209"/>
      <c r="AH84" s="208">
        <f>AC82</f>
        <v>7529</v>
      </c>
      <c r="AI84" s="208">
        <f>AD82</f>
        <v>7629</v>
      </c>
      <c r="AJ84" s="208">
        <f>AE82</f>
        <v>7729</v>
      </c>
      <c r="AK84" s="208">
        <f>AF82</f>
        <v>7829</v>
      </c>
      <c r="AL84" s="209"/>
    </row>
    <row r="85" spans="1:38" s="204" customFormat="1" outlineLevel="1" x14ac:dyDescent="0.25">
      <c r="A85" s="312"/>
      <c r="B85" s="205" t="s">
        <v>177</v>
      </c>
      <c r="C85" s="206"/>
      <c r="D85" s="210">
        <v>0.17928494231648628</v>
      </c>
      <c r="E85" s="210">
        <v>0.15524456521739133</v>
      </c>
      <c r="F85" s="210">
        <v>0.16818750000000002</v>
      </c>
      <c r="G85" s="210">
        <f>AVERAGE(D85,E85,F85)</f>
        <v>0.16757233584462586</v>
      </c>
      <c r="H85" s="209"/>
      <c r="I85" s="210">
        <f>+D85*(1+I88)</f>
        <v>0.18107779173965116</v>
      </c>
      <c r="J85" s="210">
        <f>+E85*(1+J88)</f>
        <v>0.10711875000000001</v>
      </c>
      <c r="K85" s="210">
        <f t="shared" ref="K85" si="346">+F85*(1+K88)</f>
        <v>0.10595812500000001</v>
      </c>
      <c r="L85" s="210">
        <f t="shared" ref="L85" si="347">+G85*(1+L88)</f>
        <v>0.14913937890171702</v>
      </c>
      <c r="M85" s="209"/>
      <c r="N85" s="210">
        <f>+I85*(1+N88)</f>
        <v>0.18288856965704767</v>
      </c>
      <c r="O85" s="210">
        <f>+J85*(1+O88)</f>
        <v>0.1231865625</v>
      </c>
      <c r="P85" s="210">
        <f t="shared" ref="P85" si="348">+K85*(1+P88)</f>
        <v>0.15363928125000001</v>
      </c>
      <c r="Q85" s="210">
        <f t="shared" ref="Q85" si="349">+L85*(1+Q88)</f>
        <v>0.16405331679188873</v>
      </c>
      <c r="R85" s="209"/>
      <c r="S85" s="210">
        <f>+N85*(1+S88)</f>
        <v>0.19203299813990005</v>
      </c>
      <c r="T85" s="210">
        <f>+O85*(1+T88)</f>
        <v>0.126882159375</v>
      </c>
      <c r="U85" s="210">
        <f t="shared" ref="U85" si="350">+P85*(1+U88)</f>
        <v>0.15824845968750001</v>
      </c>
      <c r="V85" s="210">
        <f t="shared" ref="V85" si="351">+Q85*(1+V88)</f>
        <v>0.1689749162956454</v>
      </c>
      <c r="W85" s="209"/>
      <c r="X85" s="210">
        <f>+S85*(1+X88)</f>
        <v>0.19779398808409707</v>
      </c>
      <c r="Y85" s="210">
        <f>+T85*(1+Y88)</f>
        <v>0.13068862415624999</v>
      </c>
      <c r="Z85" s="210">
        <f t="shared" ref="Z85" si="352">+U85*(1+Z88)</f>
        <v>0.162995913478125</v>
      </c>
      <c r="AA85" s="210">
        <f t="shared" ref="AA85" si="353">+V85*(1+AA88)</f>
        <v>0.17404416378451476</v>
      </c>
      <c r="AB85" s="209"/>
      <c r="AC85" s="210">
        <f>+X85*(1+AC88)</f>
        <v>0.20570574760746096</v>
      </c>
      <c r="AD85" s="210">
        <f>+Y85*(1+AD88)</f>
        <v>0.13591616912249999</v>
      </c>
      <c r="AE85" s="210">
        <f t="shared" ref="AE85" si="354">+Z85*(1+AE88)</f>
        <v>0.16951575001725</v>
      </c>
      <c r="AF85" s="210">
        <f t="shared" ref="AF85" si="355">+AA85*(1+AF88)</f>
        <v>0.18100593033589535</v>
      </c>
      <c r="AG85" s="209"/>
      <c r="AH85" s="210">
        <f>+AC85*(1+AH88)</f>
        <v>0.21393397751175941</v>
      </c>
      <c r="AI85" s="210">
        <f>+AD85*(1+AI88)</f>
        <v>0.14135281588739998</v>
      </c>
      <c r="AJ85" s="210">
        <f t="shared" ref="AJ85" si="356">+AE85*(1+AJ88)</f>
        <v>0.17629638001794001</v>
      </c>
      <c r="AK85" s="210">
        <f t="shared" ref="AK85" si="357">+AF85*(1+AK88)</f>
        <v>0.18824616754933116</v>
      </c>
      <c r="AL85" s="209"/>
    </row>
    <row r="86" spans="1:38" outlineLevel="1" x14ac:dyDescent="0.25">
      <c r="A86" s="293"/>
      <c r="B86" s="50" t="s">
        <v>173</v>
      </c>
      <c r="C86" s="183"/>
      <c r="D86" s="327">
        <v>0.01</v>
      </c>
      <c r="E86" s="327">
        <v>0</v>
      </c>
      <c r="F86" s="327">
        <v>0.01</v>
      </c>
      <c r="G86" s="327">
        <v>0.01</v>
      </c>
      <c r="H86" s="363"/>
      <c r="I86" s="327">
        <v>-0.01</v>
      </c>
      <c r="J86" s="327">
        <v>-0.32</v>
      </c>
      <c r="K86" s="327">
        <v>-0.44</v>
      </c>
      <c r="L86" s="63"/>
      <c r="M86" s="61"/>
      <c r="N86" s="63"/>
      <c r="O86" s="63"/>
      <c r="P86" s="63"/>
      <c r="Q86" s="63"/>
      <c r="R86" s="61"/>
      <c r="S86" s="63"/>
      <c r="T86" s="63"/>
      <c r="U86" s="63"/>
      <c r="V86" s="63"/>
      <c r="W86" s="61"/>
      <c r="X86" s="63"/>
      <c r="Y86" s="63"/>
      <c r="Z86" s="63"/>
      <c r="AA86" s="63"/>
      <c r="AB86" s="61"/>
      <c r="AC86" s="63"/>
      <c r="AD86" s="63"/>
      <c r="AE86" s="63"/>
      <c r="AF86" s="63"/>
      <c r="AG86" s="61"/>
      <c r="AH86" s="63"/>
      <c r="AI86" s="63"/>
      <c r="AJ86" s="63"/>
      <c r="AK86" s="63"/>
      <c r="AL86" s="61"/>
    </row>
    <row r="87" spans="1:38" outlineLevel="1" x14ac:dyDescent="0.25">
      <c r="A87" s="293"/>
      <c r="B87" s="50" t="s">
        <v>172</v>
      </c>
      <c r="C87" s="183"/>
      <c r="D87" s="436">
        <v>0.01</v>
      </c>
      <c r="E87" s="436">
        <v>0.02</v>
      </c>
      <c r="F87" s="436">
        <v>0.03</v>
      </c>
      <c r="G87" s="436">
        <v>0.03</v>
      </c>
      <c r="H87" s="413"/>
      <c r="I87" s="436">
        <v>0.02</v>
      </c>
      <c r="J87" s="436">
        <v>0.01</v>
      </c>
      <c r="K87" s="436">
        <v>0.13</v>
      </c>
      <c r="L87" s="198"/>
      <c r="M87" s="199"/>
      <c r="N87" s="198"/>
      <c r="O87" s="198"/>
      <c r="P87" s="198"/>
      <c r="Q87" s="198"/>
      <c r="R87" s="199"/>
      <c r="S87" s="198"/>
      <c r="T87" s="198"/>
      <c r="U87" s="198"/>
      <c r="V87" s="198"/>
      <c r="W87" s="199"/>
      <c r="X87" s="198"/>
      <c r="Y87" s="198"/>
      <c r="Z87" s="198"/>
      <c r="AA87" s="198"/>
      <c r="AB87" s="199"/>
      <c r="AC87" s="198"/>
      <c r="AD87" s="198"/>
      <c r="AE87" s="198"/>
      <c r="AF87" s="198"/>
      <c r="AG87" s="199"/>
      <c r="AH87" s="198"/>
      <c r="AI87" s="198"/>
      <c r="AJ87" s="198"/>
      <c r="AK87" s="198"/>
      <c r="AL87" s="199"/>
    </row>
    <row r="88" spans="1:38" s="20" customFormat="1" outlineLevel="1" x14ac:dyDescent="0.25">
      <c r="A88" s="308"/>
      <c r="B88" s="95" t="s">
        <v>174</v>
      </c>
      <c r="C88" s="85"/>
      <c r="D88" s="437">
        <v>0.02</v>
      </c>
      <c r="E88" s="437">
        <v>0.02</v>
      </c>
      <c r="F88" s="438">
        <v>0.05</v>
      </c>
      <c r="G88" s="437">
        <v>0.03</v>
      </c>
      <c r="H88" s="381"/>
      <c r="I88" s="437">
        <v>0.01</v>
      </c>
      <c r="J88" s="437">
        <v>-0.31</v>
      </c>
      <c r="K88" s="437">
        <v>-0.37</v>
      </c>
      <c r="L88" s="410">
        <v>-0.11</v>
      </c>
      <c r="M88" s="200"/>
      <c r="N88" s="202">
        <v>0.01</v>
      </c>
      <c r="O88" s="202">
        <v>0.15</v>
      </c>
      <c r="P88" s="202">
        <v>0.45</v>
      </c>
      <c r="Q88" s="202">
        <v>0.1</v>
      </c>
      <c r="R88" s="200"/>
      <c r="S88" s="202">
        <v>0.05</v>
      </c>
      <c r="T88" s="202">
        <v>0.03</v>
      </c>
      <c r="U88" s="202">
        <v>0.03</v>
      </c>
      <c r="V88" s="202">
        <v>0.03</v>
      </c>
      <c r="W88" s="200"/>
      <c r="X88" s="202">
        <v>0.03</v>
      </c>
      <c r="Y88" s="202">
        <f>AVERAGE(X88,V88,U88,T88)</f>
        <v>0.03</v>
      </c>
      <c r="Z88" s="202">
        <f>AVERAGE(Y88,X88,V88,U88)</f>
        <v>0.03</v>
      </c>
      <c r="AA88" s="202">
        <f>AVERAGE(Z88,Y88,X88,V88)</f>
        <v>0.03</v>
      </c>
      <c r="AB88" s="200"/>
      <c r="AC88" s="202">
        <v>0.04</v>
      </c>
      <c r="AD88" s="202">
        <v>0.04</v>
      </c>
      <c r="AE88" s="202">
        <v>0.04</v>
      </c>
      <c r="AF88" s="202">
        <v>0.04</v>
      </c>
      <c r="AG88" s="200"/>
      <c r="AH88" s="202">
        <v>0.04</v>
      </c>
      <c r="AI88" s="202">
        <v>0.04</v>
      </c>
      <c r="AJ88" s="202">
        <v>0.04</v>
      </c>
      <c r="AK88" s="202">
        <v>0.04</v>
      </c>
      <c r="AL88" s="200"/>
    </row>
    <row r="89" spans="1:38" ht="17.25" outlineLevel="1" x14ac:dyDescent="0.4">
      <c r="A89" s="293"/>
      <c r="B89" s="184" t="s">
        <v>206</v>
      </c>
      <c r="C89" s="183"/>
      <c r="D89" s="68">
        <v>348</v>
      </c>
      <c r="E89" s="68">
        <v>485</v>
      </c>
      <c r="F89" s="68">
        <v>432</v>
      </c>
      <c r="G89" s="68">
        <v>369</v>
      </c>
      <c r="H89" s="18"/>
      <c r="I89" s="68">
        <v>252</v>
      </c>
      <c r="J89" s="68">
        <v>272.5</v>
      </c>
      <c r="K89" s="68">
        <v>277.625</v>
      </c>
      <c r="L89" s="68">
        <f>AVERAGE(K89,J89,I89)</f>
        <v>267.375</v>
      </c>
      <c r="M89" s="18"/>
      <c r="N89" s="68">
        <f>AVERAGE(L89,K89,J89,I89)</f>
        <v>267.375</v>
      </c>
      <c r="O89" s="68">
        <f>AVERAGE(N89,L89,K89,J89)</f>
        <v>271.21875</v>
      </c>
      <c r="P89" s="68">
        <f>AVERAGE(O89,N89,L89,K89)</f>
        <v>270.8984375</v>
      </c>
      <c r="Q89" s="68">
        <f>AVERAGE(P89,O89,N89,L89)</f>
        <v>269.216796875</v>
      </c>
      <c r="R89" s="18"/>
      <c r="S89" s="68">
        <f>AVERAGE(Q89,P89,O89,N89)</f>
        <v>269.67724609375</v>
      </c>
      <c r="T89" s="68">
        <f>AVERAGE(S89,Q89,P89,O89)</f>
        <v>270.2528076171875</v>
      </c>
      <c r="U89" s="68">
        <f>AVERAGE(T89,S89,Q89,P89)</f>
        <v>270.01132202148438</v>
      </c>
      <c r="V89" s="68">
        <f>AVERAGE(U89,T89,S89,Q89)</f>
        <v>269.78954315185547</v>
      </c>
      <c r="W89" s="18"/>
      <c r="X89" s="68">
        <f>AVERAGE(V89,U89,T89,S89)</f>
        <v>269.93272972106934</v>
      </c>
      <c r="Y89" s="68">
        <f>AVERAGE(X89,V89,U89,T89)</f>
        <v>269.99660062789917</v>
      </c>
      <c r="Z89" s="68">
        <f>AVERAGE(Y89,X89,V89,U89)</f>
        <v>269.93254888057709</v>
      </c>
      <c r="AA89" s="68">
        <f>AVERAGE(Z89,Y89,X89,V89)</f>
        <v>269.91285559535027</v>
      </c>
      <c r="AB89" s="18"/>
      <c r="AC89" s="68">
        <f>AVERAGE(AA89,Z89,Y89,X89)</f>
        <v>269.94368370622396</v>
      </c>
      <c r="AD89" s="68">
        <f>AVERAGE(AC89,AA89,Z89,Y89)</f>
        <v>269.94642220251262</v>
      </c>
      <c r="AE89" s="68">
        <f>AVERAGE(AD89,AC89,AA89,Z89)</f>
        <v>269.93387759616598</v>
      </c>
      <c r="AF89" s="68">
        <f>AVERAGE(AE89,AD89,AC89,AA89)</f>
        <v>269.93420977506321</v>
      </c>
      <c r="AG89" s="18"/>
      <c r="AH89" s="68">
        <f>AVERAGE(AF89,AE89,AD89,AC89)</f>
        <v>269.93954831999145</v>
      </c>
      <c r="AI89" s="68">
        <f>AVERAGE(AH89,AF89,AE89,AD89)</f>
        <v>269.93851447343332</v>
      </c>
      <c r="AJ89" s="68">
        <f>AVERAGE(AI89,AH89,AF89,AE89)</f>
        <v>269.93653754116349</v>
      </c>
      <c r="AK89" s="68">
        <f>AVERAGE(AJ89,AI89,AH89,AF89)</f>
        <v>269.93720252741286</v>
      </c>
      <c r="AL89" s="18"/>
    </row>
    <row r="90" spans="1:38" s="20" customFormat="1" outlineLevel="1" x14ac:dyDescent="0.25">
      <c r="A90" s="308"/>
      <c r="B90" s="502" t="s">
        <v>332</v>
      </c>
      <c r="C90" s="503"/>
      <c r="D90" s="189">
        <v>1278.0999999999999</v>
      </c>
      <c r="E90" s="189">
        <v>1309.4000000000001</v>
      </c>
      <c r="F90" s="298">
        <v>1352.8</v>
      </c>
      <c r="G90" s="189">
        <v>1315.9</v>
      </c>
      <c r="H90" s="201"/>
      <c r="I90" s="189">
        <v>1309.7</v>
      </c>
      <c r="J90" s="189">
        <v>902.4</v>
      </c>
      <c r="K90" s="298">
        <v>875.5</v>
      </c>
      <c r="L90" s="189">
        <f t="shared" ref="L90" si="358">+L84*L85+L89</f>
        <v>1141.3317603640617</v>
      </c>
      <c r="M90" s="201"/>
      <c r="N90" s="189">
        <f>+N84*N85+N89</f>
        <v>1375.4968435520518</v>
      </c>
      <c r="O90" s="189">
        <f>+O84*O85+O89</f>
        <v>1027.2146840625001</v>
      </c>
      <c r="P90" s="189">
        <f t="shared" ref="P90" si="359">+P84*P85+P89</f>
        <v>1231.7585024375001</v>
      </c>
      <c r="Q90" s="189">
        <f t="shared" ref="Q90" si="360">+Q84*Q85+Q89</f>
        <v>1323.9155705300527</v>
      </c>
      <c r="R90" s="201"/>
      <c r="S90" s="189">
        <f>+S84*S85+S89</f>
        <v>1523.4606909491574</v>
      </c>
      <c r="T90" s="189">
        <f>+T84*T85+T89</f>
        <v>1111.3546421140625</v>
      </c>
      <c r="U90" s="189">
        <f t="shared" ref="U90" si="361">+U84*U85+U89</f>
        <v>1334.8652072586719</v>
      </c>
      <c r="V90" s="189">
        <f t="shared" ref="V90" si="362">+V84*V85+V89</f>
        <v>1423.719246534818</v>
      </c>
      <c r="W90" s="201"/>
      <c r="X90" s="189">
        <f>+X84*X85+X89</f>
        <v>1635.5024234536754</v>
      </c>
      <c r="Y90" s="189">
        <f>+Y84*Y85+Y89</f>
        <v>1182.072508614368</v>
      </c>
      <c r="Z90" s="189">
        <f t="shared" ref="Z90" si="363">+Z84*Z85+Z89</f>
        <v>1419.7057225552708</v>
      </c>
      <c r="AA90" s="189">
        <f t="shared" ref="AA90" si="364">+AA84*AA85+AA89</f>
        <v>1510.6736992151559</v>
      </c>
      <c r="AB90" s="201"/>
      <c r="AC90" s="189">
        <f>+AC84*AC85+AC89</f>
        <v>1751.8478894703728</v>
      </c>
      <c r="AD90" s="189">
        <f>+AD84*AD85+AD89</f>
        <v>1259.28021724519</v>
      </c>
      <c r="AE90" s="189">
        <f t="shared" ref="AE90:AF90" si="365">+AE84*AE85+AE89</f>
        <v>1516.5527032230225</v>
      </c>
      <c r="AF90" s="189">
        <f t="shared" si="365"/>
        <v>1614.6272662404297</v>
      </c>
      <c r="AG90" s="201"/>
      <c r="AH90" s="189">
        <f>+AH84*AH85+AH89</f>
        <v>1880.6484650060281</v>
      </c>
      <c r="AI90" s="189">
        <f>+AI84*AI85+AI89</f>
        <v>1348.3191468784078</v>
      </c>
      <c r="AJ90" s="189">
        <f t="shared" ref="AJ90:AK90" si="366">+AJ84*AJ85+AJ89</f>
        <v>1632.5312586998218</v>
      </c>
      <c r="AK90" s="189">
        <f t="shared" si="366"/>
        <v>1743.7164482711264</v>
      </c>
      <c r="AL90" s="201"/>
    </row>
    <row r="91" spans="1:38" s="20" customFormat="1" outlineLevel="1" x14ac:dyDescent="0.25">
      <c r="A91" s="308"/>
      <c r="B91" s="211" t="s">
        <v>180</v>
      </c>
      <c r="C91" s="85"/>
      <c r="D91" s="215">
        <f t="shared" ref="D91" si="367">+D90/D82</f>
        <v>0.21889022092824112</v>
      </c>
      <c r="E91" s="215">
        <f t="shared" ref="E91" si="368">+E90/E82</f>
        <v>0.22272495322333732</v>
      </c>
      <c r="F91" s="328">
        <f t="shared" ref="F91" si="369">+F90/F82</f>
        <v>0.23960325894438539</v>
      </c>
      <c r="G91" s="215">
        <f t="shared" ref="G91" si="370">+G90/G82</f>
        <v>0.22455631399317408</v>
      </c>
      <c r="H91" s="201"/>
      <c r="I91" s="215">
        <f t="shared" ref="I91" si="371">+I90/I82</f>
        <v>0.21615778181218023</v>
      </c>
      <c r="J91" s="215">
        <f t="shared" ref="J91" si="372">+J90/J82</f>
        <v>0.14704252892292652</v>
      </c>
      <c r="K91" s="215">
        <f t="shared" ref="K91" si="373">+K90/K82</f>
        <v>0.13999040614007036</v>
      </c>
      <c r="L91" s="215">
        <f t="shared" ref="L91" si="374">+L90/L82</f>
        <v>0.17752866081257765</v>
      </c>
      <c r="M91" s="201"/>
      <c r="N91" s="215">
        <f t="shared" ref="N91" si="375">+N90/N82</f>
        <v>0.21067496455078141</v>
      </c>
      <c r="O91" s="215">
        <f t="shared" ref="O91" si="376">+O90/O82</f>
        <v>0.15495771369173331</v>
      </c>
      <c r="P91" s="215">
        <f t="shared" ref="P91" si="377">+P90/P82</f>
        <v>0.1830522369501412</v>
      </c>
      <c r="Q91" s="215">
        <f t="shared" ref="Q91" si="378">+Q90/Q82</f>
        <v>0.19386668187583142</v>
      </c>
      <c r="R91" s="201"/>
      <c r="S91" s="215">
        <f t="shared" ref="S91" si="379">+S90/S82</f>
        <v>0.22066348362531249</v>
      </c>
      <c r="T91" s="215">
        <f t="shared" ref="T91" si="380">+T90/T82</f>
        <v>0.15924267690414995</v>
      </c>
      <c r="U91" s="215">
        <f t="shared" ref="U91" si="381">+U90/U82</f>
        <v>0.18923521509195804</v>
      </c>
      <c r="V91" s="215">
        <f t="shared" ref="V91" si="382">+V90/V82</f>
        <v>0.19970812828374498</v>
      </c>
      <c r="W91" s="201"/>
      <c r="X91" s="215">
        <f t="shared" ref="X91" si="383">+X90/X82</f>
        <v>0.22702698826397494</v>
      </c>
      <c r="Y91" s="215">
        <f t="shared" ref="Y91" si="384">+Y90/Y82</f>
        <v>0.16239490432949141</v>
      </c>
      <c r="Z91" s="215">
        <f t="shared" ref="Z91" si="385">+Z90/Z82</f>
        <v>0.19305217875377628</v>
      </c>
      <c r="AA91" s="215">
        <f t="shared" ref="AA91" si="386">+AA90/AA82</f>
        <v>0.20334818942188126</v>
      </c>
      <c r="AB91" s="201"/>
      <c r="AC91" s="215">
        <f t="shared" ref="AC91:AF91" si="387">+AC90/AC82</f>
        <v>0.23268002250901484</v>
      </c>
      <c r="AD91" s="215">
        <f t="shared" si="387"/>
        <v>0.16506491247151528</v>
      </c>
      <c r="AE91" s="215">
        <f t="shared" si="387"/>
        <v>0.19621590156851113</v>
      </c>
      <c r="AF91" s="215">
        <f t="shared" si="387"/>
        <v>0.20623671813008426</v>
      </c>
      <c r="AG91" s="201"/>
      <c r="AH91" s="215">
        <f t="shared" ref="AH91:AK91" si="388">+AH90/AH82</f>
        <v>0.23718608462681651</v>
      </c>
      <c r="AI91" s="215">
        <f t="shared" si="388"/>
        <v>0.16793114296654724</v>
      </c>
      <c r="AJ91" s="215">
        <f t="shared" si="388"/>
        <v>0.20082805495138661</v>
      </c>
      <c r="AK91" s="215">
        <f t="shared" si="388"/>
        <v>0.21189894862937494</v>
      </c>
      <c r="AL91" s="201"/>
    </row>
    <row r="92" spans="1:38" s="204" customFormat="1" outlineLevel="1" x14ac:dyDescent="0.25">
      <c r="A92" s="312"/>
      <c r="B92" s="211" t="s">
        <v>178</v>
      </c>
      <c r="C92" s="212"/>
      <c r="D92" s="207">
        <f>ROUND((+D90-D89-(D84*D85)),0)</f>
        <v>0</v>
      </c>
      <c r="E92" s="213">
        <f>ROUND((+E90-E89-(E84*E85)),0)</f>
        <v>0</v>
      </c>
      <c r="F92" s="315">
        <f>ROUND((+F90-F89-(F84*F85)),0)</f>
        <v>0</v>
      </c>
      <c r="G92" s="213">
        <f>ROUND((+G90-G89-(G84*G85)),0)</f>
        <v>0</v>
      </c>
      <c r="H92" s="214"/>
      <c r="I92" s="213">
        <f>ROUND((+I90-I89-(I84*I85)),0)</f>
        <v>0</v>
      </c>
      <c r="J92" s="213">
        <f>ROUND((+J90-J89-(J84*J85)),0)</f>
        <v>0</v>
      </c>
      <c r="K92" s="213">
        <f>ROUND((+K90-K89-(K84*K85)),0)</f>
        <v>0</v>
      </c>
      <c r="L92" s="213">
        <f>ROUND((+L90-L89-(L84*L85)),0)</f>
        <v>0</v>
      </c>
      <c r="M92" s="214"/>
      <c r="N92" s="213">
        <f>ROUND((+N90-N89-(N84*N85)),0)</f>
        <v>0</v>
      </c>
      <c r="O92" s="213">
        <f>ROUND((+O90-O89-(O84*O85)),0)</f>
        <v>0</v>
      </c>
      <c r="P92" s="213">
        <f>ROUND((+P90-P89-(P84*P85)),0)</f>
        <v>0</v>
      </c>
      <c r="Q92" s="213">
        <f>ROUND((+Q90-Q89-(Q84*Q85)),0)</f>
        <v>0</v>
      </c>
      <c r="R92" s="214"/>
      <c r="S92" s="213">
        <f>ROUND((+S90-S89-(S84*S85)),0)</f>
        <v>0</v>
      </c>
      <c r="T92" s="213">
        <f>ROUND((+T90-T89-(T84*T85)),0)</f>
        <v>0</v>
      </c>
      <c r="U92" s="213">
        <f>ROUND((+U90-U89-(U84*U85)),0)</f>
        <v>0</v>
      </c>
      <c r="V92" s="213">
        <f>ROUND((+V90-V89-(V84*V85)),0)</f>
        <v>0</v>
      </c>
      <c r="W92" s="214"/>
      <c r="X92" s="213">
        <f>ROUND((+X90-X89-(X84*X85)),0)</f>
        <v>0</v>
      </c>
      <c r="Y92" s="213">
        <f>ROUND((+Y90-Y89-(Y84*Y85)),0)</f>
        <v>0</v>
      </c>
      <c r="Z92" s="213">
        <f>ROUND((+Z90-Z89-(Z84*Z85)),0)</f>
        <v>0</v>
      </c>
      <c r="AA92" s="213">
        <f>ROUND((+AA90-AA89-(AA84*AA85)),0)</f>
        <v>0</v>
      </c>
      <c r="AB92" s="214"/>
      <c r="AC92" s="213">
        <f>ROUND((+AC90-AC89-(AC84*AC85)),0)</f>
        <v>0</v>
      </c>
      <c r="AD92" s="213">
        <f>ROUND((+AD90-AD89-(AD84*AD85)),0)</f>
        <v>0</v>
      </c>
      <c r="AE92" s="213">
        <f>ROUND((+AE90-AE89-(AE84*AE85)),0)</f>
        <v>0</v>
      </c>
      <c r="AF92" s="213">
        <f>ROUND((+AF90-AF89-(AF84*AF85)),0)</f>
        <v>0</v>
      </c>
      <c r="AG92" s="214"/>
      <c r="AH92" s="213">
        <f>ROUND((+AH90-AH89-(AH84*AH85)),0)</f>
        <v>0</v>
      </c>
      <c r="AI92" s="213">
        <f>ROUND((+AI90-AI89-(AI84*AI85)),0)</f>
        <v>0</v>
      </c>
      <c r="AJ92" s="213">
        <f>ROUND((+AJ90-AJ89-(AJ84*AJ85)),0)</f>
        <v>0</v>
      </c>
      <c r="AK92" s="213">
        <f>ROUND((+AK90-AK89-(AK84*AK85)),0)</f>
        <v>0</v>
      </c>
      <c r="AL92" s="214"/>
    </row>
    <row r="93" spans="1:38" s="20" customFormat="1" outlineLevel="1" x14ac:dyDescent="0.25">
      <c r="A93" s="308"/>
      <c r="B93" s="551" t="s">
        <v>333</v>
      </c>
      <c r="C93" s="552"/>
      <c r="D93" s="216">
        <v>6373</v>
      </c>
      <c r="E93" s="216">
        <v>6586</v>
      </c>
      <c r="F93" s="326">
        <v>7127</v>
      </c>
      <c r="G93" s="216">
        <v>7329</v>
      </c>
      <c r="H93" s="217"/>
      <c r="I93" s="216">
        <v>7533</v>
      </c>
      <c r="J93" s="216">
        <v>7642</v>
      </c>
      <c r="K93" s="216">
        <v>7691</v>
      </c>
      <c r="L93" s="216">
        <f t="shared" ref="L93" si="389">+K93+L94</f>
        <v>7854</v>
      </c>
      <c r="M93" s="217"/>
      <c r="N93" s="216">
        <f>+L93+N94</f>
        <v>7954</v>
      </c>
      <c r="O93" s="216">
        <f>+N93+O94</f>
        <v>8054</v>
      </c>
      <c r="P93" s="216">
        <f t="shared" ref="P93" si="390">+O93+P94</f>
        <v>8154</v>
      </c>
      <c r="Q93" s="216">
        <f t="shared" ref="Q93" si="391">+P93+Q94</f>
        <v>8254</v>
      </c>
      <c r="R93" s="217"/>
      <c r="S93" s="216">
        <f>+Q93+S94</f>
        <v>8329</v>
      </c>
      <c r="T93" s="216">
        <f>+S93+T94</f>
        <v>8404</v>
      </c>
      <c r="U93" s="216">
        <f t="shared" ref="U93" si="392">+T93+U94</f>
        <v>8479</v>
      </c>
      <c r="V93" s="216">
        <f t="shared" ref="V93" si="393">+U93+V94</f>
        <v>8554</v>
      </c>
      <c r="W93" s="217"/>
      <c r="X93" s="216">
        <f>+V93+X94</f>
        <v>8654</v>
      </c>
      <c r="Y93" s="216">
        <f>+X93+Y94</f>
        <v>8754</v>
      </c>
      <c r="Z93" s="216">
        <f t="shared" ref="Z93" si="394">+Y93+Z94</f>
        <v>8854</v>
      </c>
      <c r="AA93" s="216">
        <f t="shared" ref="AA93" si="395">+Z93+AA94</f>
        <v>8954</v>
      </c>
      <c r="AB93" s="217"/>
      <c r="AC93" s="216">
        <f>+AA93+AC94</f>
        <v>9054</v>
      </c>
      <c r="AD93" s="216">
        <f>+AC93+AD94</f>
        <v>9154</v>
      </c>
      <c r="AE93" s="216">
        <f t="shared" ref="AE93" si="396">+AD93+AE94</f>
        <v>9254</v>
      </c>
      <c r="AF93" s="216">
        <f t="shared" ref="AF93" si="397">+AE93+AF94</f>
        <v>9354</v>
      </c>
      <c r="AG93" s="217"/>
      <c r="AH93" s="216">
        <f>+AF93+AH94</f>
        <v>9454</v>
      </c>
      <c r="AI93" s="216">
        <f>+AH93+AI94</f>
        <v>9554</v>
      </c>
      <c r="AJ93" s="216">
        <f t="shared" ref="AJ93" si="398">+AI93+AJ94</f>
        <v>9654</v>
      </c>
      <c r="AK93" s="216">
        <f t="shared" ref="AK93" si="399">+AJ93+AK94</f>
        <v>9754</v>
      </c>
      <c r="AL93" s="217"/>
    </row>
    <row r="94" spans="1:38" outlineLevel="1" x14ac:dyDescent="0.25">
      <c r="A94" s="293"/>
      <c r="B94" s="50" t="s">
        <v>179</v>
      </c>
      <c r="C94" s="83"/>
      <c r="D94" s="37">
        <f>+D93-6201</f>
        <v>172</v>
      </c>
      <c r="E94" s="37">
        <f>+E93-D93</f>
        <v>213</v>
      </c>
      <c r="F94" s="295">
        <f t="shared" ref="F94:G94" si="400">+F93-E93</f>
        <v>541</v>
      </c>
      <c r="G94" s="295">
        <f t="shared" si="400"/>
        <v>202</v>
      </c>
      <c r="H94" s="333">
        <f>+SUM(D94:G94)</f>
        <v>1128</v>
      </c>
      <c r="I94" s="295">
        <f>+I93-G93</f>
        <v>204</v>
      </c>
      <c r="J94" s="295">
        <f t="shared" ref="J94:K94" si="401">+J93-I93</f>
        <v>109</v>
      </c>
      <c r="K94" s="295">
        <f t="shared" si="401"/>
        <v>49</v>
      </c>
      <c r="L94" s="70">
        <v>163</v>
      </c>
      <c r="M94" s="415">
        <f>+SUM(I94:L94)</f>
        <v>525</v>
      </c>
      <c r="N94" s="70">
        <v>100</v>
      </c>
      <c r="O94" s="70">
        <v>100</v>
      </c>
      <c r="P94" s="70">
        <v>100</v>
      </c>
      <c r="Q94" s="70">
        <v>100</v>
      </c>
      <c r="R94" s="55">
        <f>+SUM(N94:Q94)</f>
        <v>400</v>
      </c>
      <c r="S94" s="70">
        <v>75</v>
      </c>
      <c r="T94" s="70">
        <v>75</v>
      </c>
      <c r="U94" s="70">
        <v>75</v>
      </c>
      <c r="V94" s="70">
        <v>75</v>
      </c>
      <c r="W94" s="55">
        <f>+SUM(S94:V94)</f>
        <v>300</v>
      </c>
      <c r="X94" s="70">
        <v>100</v>
      </c>
      <c r="Y94" s="70">
        <v>100</v>
      </c>
      <c r="Z94" s="70">
        <v>100</v>
      </c>
      <c r="AA94" s="70">
        <v>100</v>
      </c>
      <c r="AB94" s="55">
        <f>+SUM(X94:AA94)</f>
        <v>400</v>
      </c>
      <c r="AC94" s="70">
        <f>AVERAGE(X94,Y94,Z94,AA94)</f>
        <v>100</v>
      </c>
      <c r="AD94" s="70">
        <f>AVERAGE(Y94,Z94,AA94,AC94)</f>
        <v>100</v>
      </c>
      <c r="AE94" s="70">
        <f>AVERAGE(Z94,AA94,AC94,AD94)</f>
        <v>100</v>
      </c>
      <c r="AF94" s="70">
        <f>AVERAGE(AA94,AC94,AD94,AE94)</f>
        <v>100</v>
      </c>
      <c r="AG94" s="55">
        <f>+SUM(AC94:AF94)</f>
        <v>400</v>
      </c>
      <c r="AH94" s="70">
        <f>AVERAGE(AC94,AD94,AE94,AF94)</f>
        <v>100</v>
      </c>
      <c r="AI94" s="70">
        <f>AVERAGE(AD94,AE94,AF94,AH94)</f>
        <v>100</v>
      </c>
      <c r="AJ94" s="70">
        <f>AVERAGE(AE94,AF94,AH94,AI94)</f>
        <v>100</v>
      </c>
      <c r="AK94" s="70">
        <f>AVERAGE(AF94,AH94,AI94,AJ94)</f>
        <v>100</v>
      </c>
      <c r="AL94" s="55">
        <f>+SUM(AH94:AK94)</f>
        <v>400</v>
      </c>
    </row>
    <row r="95" spans="1:38" outlineLevel="1" x14ac:dyDescent="0.25">
      <c r="A95" s="293"/>
      <c r="B95" s="50" t="s">
        <v>182</v>
      </c>
      <c r="C95" s="83"/>
      <c r="D95" s="37">
        <f>AVERAGE(D93,6201)</f>
        <v>6287</v>
      </c>
      <c r="E95" s="37">
        <f>AVERAGE(E93,D93)</f>
        <v>6479.5</v>
      </c>
      <c r="F95" s="37">
        <f t="shared" ref="F95:G95" si="402">AVERAGE(F93,E93)</f>
        <v>6856.5</v>
      </c>
      <c r="G95" s="37">
        <f t="shared" si="402"/>
        <v>7228</v>
      </c>
      <c r="H95" s="55"/>
      <c r="I95" s="37">
        <f>AVERAGE(I93,G93)</f>
        <v>7431</v>
      </c>
      <c r="J95" s="37">
        <f>AVERAGE(J93,I93)</f>
        <v>7587.5</v>
      </c>
      <c r="K95" s="37">
        <f t="shared" ref="K95:L95" si="403">AVERAGE(K93,J93)</f>
        <v>7666.5</v>
      </c>
      <c r="L95" s="37">
        <f t="shared" si="403"/>
        <v>7772.5</v>
      </c>
      <c r="M95" s="18"/>
      <c r="N95" s="37">
        <f>AVERAGE(N93,L93)</f>
        <v>7904</v>
      </c>
      <c r="O95" s="37">
        <f>AVERAGE(O93,N93)</f>
        <v>8004</v>
      </c>
      <c r="P95" s="37">
        <f t="shared" ref="P95:Q95" si="404">AVERAGE(P93,O93)</f>
        <v>8104</v>
      </c>
      <c r="Q95" s="37">
        <f t="shared" si="404"/>
        <v>8204</v>
      </c>
      <c r="R95" s="18"/>
      <c r="S95" s="37">
        <f>AVERAGE(S93,Q93)</f>
        <v>8291.5</v>
      </c>
      <c r="T95" s="37">
        <f>AVERAGE(T93,S93)</f>
        <v>8366.5</v>
      </c>
      <c r="U95" s="37">
        <f t="shared" ref="U95:V95" si="405">AVERAGE(U93,T93)</f>
        <v>8441.5</v>
      </c>
      <c r="V95" s="37">
        <f t="shared" si="405"/>
        <v>8516.5</v>
      </c>
      <c r="W95" s="18"/>
      <c r="X95" s="37">
        <f>AVERAGE(X93,V93)</f>
        <v>8604</v>
      </c>
      <c r="Y95" s="37">
        <f>AVERAGE(Y93,X93)</f>
        <v>8704</v>
      </c>
      <c r="Z95" s="37">
        <f t="shared" ref="Z95:AA95" si="406">AVERAGE(Z93,Y93)</f>
        <v>8804</v>
      </c>
      <c r="AA95" s="37">
        <f t="shared" si="406"/>
        <v>8904</v>
      </c>
      <c r="AB95" s="18"/>
      <c r="AC95" s="37">
        <f>AVERAGE(AC93,AA93)</f>
        <v>9004</v>
      </c>
      <c r="AD95" s="37">
        <f>AVERAGE(AD93,AC93)</f>
        <v>9104</v>
      </c>
      <c r="AE95" s="37">
        <f t="shared" ref="AE95" si="407">AVERAGE(AE93,AD93)</f>
        <v>9204</v>
      </c>
      <c r="AF95" s="37">
        <f t="shared" ref="AF95" si="408">AVERAGE(AF93,AE93)</f>
        <v>9304</v>
      </c>
      <c r="AG95" s="18"/>
      <c r="AH95" s="37">
        <f>AVERAGE(AH93,AF93)</f>
        <v>9404</v>
      </c>
      <c r="AI95" s="37">
        <f>AVERAGE(AI93,AH93)</f>
        <v>9504</v>
      </c>
      <c r="AJ95" s="37">
        <f t="shared" ref="AJ95" si="409">AVERAGE(AJ93,AI93)</f>
        <v>9604</v>
      </c>
      <c r="AK95" s="37">
        <f t="shared" ref="AK95" si="410">AVERAGE(AK93,AJ93)</f>
        <v>9704</v>
      </c>
      <c r="AL95" s="18"/>
    </row>
    <row r="96" spans="1:38" outlineLevel="1" x14ac:dyDescent="0.25">
      <c r="A96" s="293"/>
      <c r="B96" s="50" t="s">
        <v>181</v>
      </c>
      <c r="C96" s="83"/>
      <c r="D96" s="123">
        <f>+D97/D95</f>
        <v>3.5390488309209482E-2</v>
      </c>
      <c r="E96" s="319">
        <f>+E97/E95</f>
        <v>3.3197005941816495E-2</v>
      </c>
      <c r="F96" s="319">
        <f>+F97/F95</f>
        <v>3.335521038430686E-2</v>
      </c>
      <c r="G96" s="319">
        <f>+G97/G95</f>
        <v>3.468456004427227E-2</v>
      </c>
      <c r="H96" s="55"/>
      <c r="I96" s="319">
        <f t="shared" ref="I96:K96" si="411">+I97/I95</f>
        <v>3.4275333064190554E-2</v>
      </c>
      <c r="J96" s="319">
        <f t="shared" si="411"/>
        <v>2.97331136738056E-2</v>
      </c>
      <c r="K96" s="319">
        <f t="shared" si="411"/>
        <v>8.4784451835909474E-3</v>
      </c>
      <c r="L96" s="203">
        <v>2.5000000000000001E-2</v>
      </c>
      <c r="M96" s="18"/>
      <c r="N96" s="203">
        <v>3.2000000000000001E-2</v>
      </c>
      <c r="O96" s="203">
        <v>3.3000000000000002E-2</v>
      </c>
      <c r="P96" s="203">
        <v>3.4000000000000002E-2</v>
      </c>
      <c r="Q96" s="203">
        <v>3.5000000000000003E-2</v>
      </c>
      <c r="R96" s="18"/>
      <c r="S96" s="203">
        <v>3.5000000000000003E-2</v>
      </c>
      <c r="T96" s="203">
        <v>3.2000000000000001E-2</v>
      </c>
      <c r="U96" s="203">
        <v>3.2000000000000001E-2</v>
      </c>
      <c r="V96" s="203">
        <f>+Q96*(1+2%)</f>
        <v>3.5700000000000003E-2</v>
      </c>
      <c r="W96" s="18"/>
      <c r="X96" s="203">
        <f>+S96*(1+2%)</f>
        <v>3.5700000000000003E-2</v>
      </c>
      <c r="Y96" s="203">
        <f>+T96*(1+2%)</f>
        <v>3.2640000000000002E-2</v>
      </c>
      <c r="Z96" s="203">
        <f>+U96*(1+2%)</f>
        <v>3.2640000000000002E-2</v>
      </c>
      <c r="AA96" s="203">
        <f>+V96*(1+2%)</f>
        <v>3.6414000000000002E-2</v>
      </c>
      <c r="AB96" s="18"/>
      <c r="AC96" s="203">
        <f>+X96*(1+5%)</f>
        <v>3.7485000000000004E-2</v>
      </c>
      <c r="AD96" s="203">
        <f>+Y96*(1+5%)</f>
        <v>3.4272000000000004E-2</v>
      </c>
      <c r="AE96" s="203">
        <f>+Z96*(1+5%)</f>
        <v>3.4272000000000004E-2</v>
      </c>
      <c r="AF96" s="203">
        <f>+AA96*(1+5%)</f>
        <v>3.8234700000000003E-2</v>
      </c>
      <c r="AG96" s="18"/>
      <c r="AH96" s="203">
        <f>+AC96*(1+5%)</f>
        <v>3.9359250000000005E-2</v>
      </c>
      <c r="AI96" s="203">
        <f>+AD96*(1+5%)</f>
        <v>3.5985600000000006E-2</v>
      </c>
      <c r="AJ96" s="203">
        <f>+AE96*(1+5%)</f>
        <v>3.5985600000000006E-2</v>
      </c>
      <c r="AK96" s="203">
        <f>+AF96*(1+5%)</f>
        <v>4.0146435000000008E-2</v>
      </c>
      <c r="AL96" s="18"/>
    </row>
    <row r="97" spans="1:38" s="20" customFormat="1" outlineLevel="1" x14ac:dyDescent="0.25">
      <c r="A97" s="308"/>
      <c r="B97" s="561" t="s">
        <v>334</v>
      </c>
      <c r="C97" s="562"/>
      <c r="D97" s="320">
        <v>222.5</v>
      </c>
      <c r="E97" s="320">
        <v>215.1</v>
      </c>
      <c r="F97" s="320">
        <v>228.7</v>
      </c>
      <c r="G97" s="320">
        <v>250.7</v>
      </c>
      <c r="H97" s="439"/>
      <c r="I97" s="320">
        <v>254.7</v>
      </c>
      <c r="J97" s="320">
        <v>225.6</v>
      </c>
      <c r="K97" s="320">
        <v>65</v>
      </c>
      <c r="L97" s="221">
        <f t="shared" ref="L97" si="412">+L95*L96</f>
        <v>194.3125</v>
      </c>
      <c r="M97" s="222"/>
      <c r="N97" s="221">
        <f>+N95*N96</f>
        <v>252.928</v>
      </c>
      <c r="O97" s="221">
        <f>+O95*O96</f>
        <v>264.13200000000001</v>
      </c>
      <c r="P97" s="221">
        <f t="shared" ref="P97" si="413">+P95*P96</f>
        <v>275.536</v>
      </c>
      <c r="Q97" s="221">
        <f t="shared" ref="Q97" si="414">+Q95*Q96</f>
        <v>287.14000000000004</v>
      </c>
      <c r="R97" s="222"/>
      <c r="S97" s="221">
        <f>+S95*S96</f>
        <v>290.20250000000004</v>
      </c>
      <c r="T97" s="221">
        <f>+T95*T96</f>
        <v>267.72800000000001</v>
      </c>
      <c r="U97" s="221">
        <f t="shared" ref="U97" si="415">+U95*U96</f>
        <v>270.12799999999999</v>
      </c>
      <c r="V97" s="221">
        <f t="shared" ref="V97" si="416">+V95*V96</f>
        <v>304.03905000000003</v>
      </c>
      <c r="W97" s="222"/>
      <c r="X97" s="221">
        <f>+X95*X96</f>
        <v>307.1628</v>
      </c>
      <c r="Y97" s="221">
        <f>+Y95*Y96</f>
        <v>284.09856000000002</v>
      </c>
      <c r="Z97" s="221">
        <f t="shared" ref="Z97" si="417">+Z95*Z96</f>
        <v>287.36256000000003</v>
      </c>
      <c r="AA97" s="221">
        <f t="shared" ref="AA97" si="418">+AA95*AA96</f>
        <v>324.230256</v>
      </c>
      <c r="AB97" s="222"/>
      <c r="AC97" s="221">
        <f>+AC95*AC96</f>
        <v>337.51494000000002</v>
      </c>
      <c r="AD97" s="221">
        <f>+AD95*AD96</f>
        <v>312.01228800000001</v>
      </c>
      <c r="AE97" s="221">
        <f t="shared" ref="AE97:AF97" si="419">+AE95*AE96</f>
        <v>315.43948800000004</v>
      </c>
      <c r="AF97" s="221">
        <f t="shared" si="419"/>
        <v>355.73564880000004</v>
      </c>
      <c r="AG97" s="222"/>
      <c r="AH97" s="221">
        <f>+AH95*AH96</f>
        <v>370.13438700000006</v>
      </c>
      <c r="AI97" s="221">
        <f>+AI95*AI96</f>
        <v>342.00714240000008</v>
      </c>
      <c r="AJ97" s="221">
        <f t="shared" ref="AJ97:AK97" si="420">+AJ95*AJ96</f>
        <v>345.60570240000004</v>
      </c>
      <c r="AK97" s="221">
        <f t="shared" si="420"/>
        <v>389.58100524000008</v>
      </c>
      <c r="AL97" s="222"/>
    </row>
    <row r="98" spans="1:38" s="20" customFormat="1" outlineLevel="1" x14ac:dyDescent="0.25">
      <c r="A98" s="308"/>
      <c r="B98" s="502" t="s">
        <v>335</v>
      </c>
      <c r="C98" s="503"/>
      <c r="D98" s="298">
        <v>3.4</v>
      </c>
      <c r="E98" s="298">
        <v>4.9000000000000004</v>
      </c>
      <c r="F98" s="298">
        <v>3.8</v>
      </c>
      <c r="G98" s="298">
        <v>5.5</v>
      </c>
      <c r="H98" s="440"/>
      <c r="I98" s="298">
        <v>6.7</v>
      </c>
      <c r="J98" s="298">
        <v>6.6</v>
      </c>
      <c r="K98" s="298">
        <v>9.1</v>
      </c>
      <c r="L98" s="189">
        <f t="shared" ref="L98" si="421">+G98*(1+L99)</f>
        <v>9.625</v>
      </c>
      <c r="M98" s="196"/>
      <c r="N98" s="189">
        <f>+I98*(1+N99)</f>
        <v>11.725</v>
      </c>
      <c r="O98" s="189">
        <f>+J98*(1+O99)</f>
        <v>11.549999999999999</v>
      </c>
      <c r="P98" s="189">
        <f>+K98*(1+P99)</f>
        <v>15.924999999999999</v>
      </c>
      <c r="Q98" s="189">
        <f t="shared" ref="Q98" si="422">+L98*(1+Q99)</f>
        <v>14.4375</v>
      </c>
      <c r="R98" s="196"/>
      <c r="S98" s="189">
        <f>+N98*(1+S99)</f>
        <v>17.587499999999999</v>
      </c>
      <c r="T98" s="189">
        <f>+O98*(1+T99)</f>
        <v>17.324999999999999</v>
      </c>
      <c r="U98" s="189">
        <f>+P98*(1+U99)</f>
        <v>19.90625</v>
      </c>
      <c r="V98" s="189">
        <f t="shared" ref="V98" si="423">+Q98*(1+V99)</f>
        <v>18.046875</v>
      </c>
      <c r="W98" s="196"/>
      <c r="X98" s="189">
        <f>+S98*(1+X99)</f>
        <v>21.984375</v>
      </c>
      <c r="Y98" s="189">
        <f>+T98*(1+Y99)</f>
        <v>21.65625</v>
      </c>
      <c r="Z98" s="189">
        <f>+U98*(1+Z99)</f>
        <v>24.8828125</v>
      </c>
      <c r="AA98" s="189">
        <f t="shared" ref="AA98" si="424">+V98*(1+AA99)</f>
        <v>22.55859375</v>
      </c>
      <c r="AB98" s="196"/>
      <c r="AC98" s="189">
        <f>+X98*(1+AC99)</f>
        <v>27.48046875</v>
      </c>
      <c r="AD98" s="189">
        <f>+Y98*(1+AD99)</f>
        <v>27.0703125</v>
      </c>
      <c r="AE98" s="189">
        <f>+Z98*(1+AE99)</f>
        <v>31.103515625</v>
      </c>
      <c r="AF98" s="189">
        <f t="shared" ref="AF98" si="425">+AA98*(1+AF99)</f>
        <v>28.1982421875</v>
      </c>
      <c r="AG98" s="196"/>
      <c r="AH98" s="189">
        <f>+AC98*(1+AH99)</f>
        <v>34.3505859375</v>
      </c>
      <c r="AI98" s="189">
        <f>+AD98*(1+AI99)</f>
        <v>33.837890625</v>
      </c>
      <c r="AJ98" s="189">
        <f>+AE98*(1+AJ99)</f>
        <v>38.87939453125</v>
      </c>
      <c r="AK98" s="189">
        <f t="shared" ref="AK98" si="426">+AF98*(1+AK99)</f>
        <v>35.247802734375</v>
      </c>
      <c r="AL98" s="196"/>
    </row>
    <row r="99" spans="1:38" outlineLevel="1" x14ac:dyDescent="0.25">
      <c r="A99" s="293"/>
      <c r="B99" s="218" t="s">
        <v>186</v>
      </c>
      <c r="C99" s="219"/>
      <c r="D99" s="331"/>
      <c r="E99" s="331"/>
      <c r="F99" s="331"/>
      <c r="G99" s="331"/>
      <c r="H99" s="441"/>
      <c r="I99" s="331">
        <f>I98/D98-1</f>
        <v>0.97058823529411775</v>
      </c>
      <c r="J99" s="331">
        <f t="shared" ref="J99:K99" si="427">J98/E98-1</f>
        <v>0.3469387755102038</v>
      </c>
      <c r="K99" s="331">
        <f t="shared" si="427"/>
        <v>1.3947368421052633</v>
      </c>
      <c r="L99" s="220">
        <v>0.75</v>
      </c>
      <c r="M99" s="197"/>
      <c r="N99" s="220">
        <v>0.75</v>
      </c>
      <c r="O99" s="220">
        <v>0.75</v>
      </c>
      <c r="P99" s="220">
        <v>0.75</v>
      </c>
      <c r="Q99" s="220">
        <v>0.5</v>
      </c>
      <c r="R99" s="197"/>
      <c r="S99" s="220">
        <v>0.5</v>
      </c>
      <c r="T99" s="220">
        <v>0.5</v>
      </c>
      <c r="U99" s="220">
        <v>0.25</v>
      </c>
      <c r="V99" s="220">
        <v>0.25</v>
      </c>
      <c r="W99" s="197"/>
      <c r="X99" s="220">
        <v>0.25</v>
      </c>
      <c r="Y99" s="220">
        <v>0.25</v>
      </c>
      <c r="Z99" s="220">
        <v>0.25</v>
      </c>
      <c r="AA99" s="220">
        <v>0.25</v>
      </c>
      <c r="AB99" s="197"/>
      <c r="AC99" s="220">
        <v>0.25</v>
      </c>
      <c r="AD99" s="220">
        <v>0.25</v>
      </c>
      <c r="AE99" s="220">
        <v>0.25</v>
      </c>
      <c r="AF99" s="220">
        <v>0.25</v>
      </c>
      <c r="AG99" s="197"/>
      <c r="AH99" s="220">
        <v>0.25</v>
      </c>
      <c r="AI99" s="220">
        <v>0.25</v>
      </c>
      <c r="AJ99" s="220">
        <v>0.25</v>
      </c>
      <c r="AK99" s="220">
        <v>0.25</v>
      </c>
      <c r="AL99" s="197"/>
    </row>
    <row r="100" spans="1:38" outlineLevel="1" x14ac:dyDescent="0.25">
      <c r="A100" s="293"/>
      <c r="B100" s="50" t="s">
        <v>336</v>
      </c>
      <c r="C100" s="183"/>
      <c r="D100" s="295">
        <f t="shared" ref="D100:G100" si="428">+D93+D82</f>
        <v>12212</v>
      </c>
      <c r="E100" s="295">
        <f t="shared" si="428"/>
        <v>12465</v>
      </c>
      <c r="F100" s="295">
        <f t="shared" si="428"/>
        <v>12773</v>
      </c>
      <c r="G100" s="295">
        <f t="shared" si="428"/>
        <v>13189</v>
      </c>
      <c r="H100" s="333"/>
      <c r="I100" s="295">
        <f>+I93+I82</f>
        <v>13592</v>
      </c>
      <c r="J100" s="295">
        <f t="shared" ref="J100:L100" si="429">+J93+J82</f>
        <v>13779</v>
      </c>
      <c r="K100" s="295">
        <f t="shared" si="429"/>
        <v>13945</v>
      </c>
      <c r="L100" s="37">
        <f t="shared" si="429"/>
        <v>14283</v>
      </c>
      <c r="M100" s="18"/>
      <c r="N100" s="37">
        <f>+N93+N82</f>
        <v>14483</v>
      </c>
      <c r="O100" s="37">
        <f t="shared" ref="O100:Q100" si="430">+O93+O82</f>
        <v>14683</v>
      </c>
      <c r="P100" s="37">
        <f t="shared" si="430"/>
        <v>14883</v>
      </c>
      <c r="Q100" s="37">
        <f t="shared" si="430"/>
        <v>15083</v>
      </c>
      <c r="R100" s="18"/>
      <c r="S100" s="37">
        <f>+S93+S82</f>
        <v>15233</v>
      </c>
      <c r="T100" s="37">
        <f t="shared" ref="T100:V100" si="431">+T93+T82</f>
        <v>15383</v>
      </c>
      <c r="U100" s="37">
        <f t="shared" si="431"/>
        <v>15533</v>
      </c>
      <c r="V100" s="37">
        <f t="shared" si="431"/>
        <v>15683</v>
      </c>
      <c r="W100" s="18"/>
      <c r="X100" s="37">
        <f>+X93+X82</f>
        <v>15858</v>
      </c>
      <c r="Y100" s="37">
        <f t="shared" ref="Y100:AA100" si="432">+Y93+Y82</f>
        <v>16033</v>
      </c>
      <c r="Z100" s="37">
        <f t="shared" si="432"/>
        <v>16208</v>
      </c>
      <c r="AA100" s="37">
        <f t="shared" si="432"/>
        <v>16383</v>
      </c>
      <c r="AB100" s="18"/>
      <c r="AC100" s="37">
        <f>+AC93+AC82</f>
        <v>16583</v>
      </c>
      <c r="AD100" s="37">
        <f t="shared" ref="AD100:AF100" si="433">+AD93+AD82</f>
        <v>16783</v>
      </c>
      <c r="AE100" s="37">
        <f t="shared" si="433"/>
        <v>16983</v>
      </c>
      <c r="AF100" s="37">
        <f t="shared" si="433"/>
        <v>17183</v>
      </c>
      <c r="AG100" s="18"/>
      <c r="AH100" s="37">
        <f>+AH93+AH82</f>
        <v>17383</v>
      </c>
      <c r="AI100" s="37">
        <f t="shared" ref="AI100:AK100" si="434">+AI93+AI82</f>
        <v>17583</v>
      </c>
      <c r="AJ100" s="37">
        <f t="shared" si="434"/>
        <v>17783</v>
      </c>
      <c r="AK100" s="37">
        <f t="shared" si="434"/>
        <v>17983</v>
      </c>
      <c r="AL100" s="18"/>
    </row>
    <row r="101" spans="1:38" outlineLevel="1" x14ac:dyDescent="0.25">
      <c r="A101" s="293"/>
      <c r="B101" s="50" t="s">
        <v>337</v>
      </c>
      <c r="C101" s="183"/>
      <c r="D101" s="295">
        <f t="shared" ref="D101:G101" si="435">+D94+D83</f>
        <v>360</v>
      </c>
      <c r="E101" s="295">
        <f t="shared" si="435"/>
        <v>253</v>
      </c>
      <c r="F101" s="295">
        <f t="shared" si="435"/>
        <v>308</v>
      </c>
      <c r="G101" s="295">
        <f t="shared" si="435"/>
        <v>416</v>
      </c>
      <c r="H101" s="333">
        <f>+H94+H83</f>
        <v>1337</v>
      </c>
      <c r="I101" s="295">
        <f>+I94+I83</f>
        <v>403</v>
      </c>
      <c r="J101" s="295">
        <f t="shared" ref="J101:L101" si="436">+J94+J83</f>
        <v>187</v>
      </c>
      <c r="K101" s="295">
        <f t="shared" si="436"/>
        <v>166</v>
      </c>
      <c r="L101" s="37">
        <f t="shared" si="436"/>
        <v>338</v>
      </c>
      <c r="M101" s="55">
        <f>+M94+M83</f>
        <v>1094</v>
      </c>
      <c r="N101" s="37">
        <f>+N94+N83</f>
        <v>200</v>
      </c>
      <c r="O101" s="37">
        <f t="shared" ref="O101:Q101" si="437">+O94+O83</f>
        <v>200</v>
      </c>
      <c r="P101" s="37">
        <f t="shared" si="437"/>
        <v>200</v>
      </c>
      <c r="Q101" s="37">
        <f t="shared" si="437"/>
        <v>200</v>
      </c>
      <c r="R101" s="55">
        <f>+R94+R83</f>
        <v>800</v>
      </c>
      <c r="S101" s="37">
        <f>+S94+S83</f>
        <v>150</v>
      </c>
      <c r="T101" s="37">
        <f t="shared" ref="T101:V101" si="438">+T94+T83</f>
        <v>150</v>
      </c>
      <c r="U101" s="37">
        <f t="shared" si="438"/>
        <v>150</v>
      </c>
      <c r="V101" s="37">
        <f t="shared" si="438"/>
        <v>150</v>
      </c>
      <c r="W101" s="55">
        <f>+W94+W83</f>
        <v>600</v>
      </c>
      <c r="X101" s="37">
        <f>+X94+X83</f>
        <v>175</v>
      </c>
      <c r="Y101" s="37">
        <f t="shared" ref="Y101:AA101" si="439">+Y94+Y83</f>
        <v>175</v>
      </c>
      <c r="Z101" s="37">
        <f t="shared" si="439"/>
        <v>175</v>
      </c>
      <c r="AA101" s="37">
        <f t="shared" si="439"/>
        <v>175</v>
      </c>
      <c r="AB101" s="55">
        <f>+AB94+AB83</f>
        <v>700</v>
      </c>
      <c r="AC101" s="37">
        <f>+AC94+AC83</f>
        <v>200</v>
      </c>
      <c r="AD101" s="37">
        <f t="shared" ref="AD101:AF101" si="440">+AD94+AD83</f>
        <v>200</v>
      </c>
      <c r="AE101" s="37">
        <f t="shared" si="440"/>
        <v>200</v>
      </c>
      <c r="AF101" s="37">
        <f t="shared" si="440"/>
        <v>200</v>
      </c>
      <c r="AG101" s="55">
        <f>+AG94+AG83</f>
        <v>800</v>
      </c>
      <c r="AH101" s="37">
        <f>+AH94+AH83</f>
        <v>200</v>
      </c>
      <c r="AI101" s="37">
        <f t="shared" ref="AI101:AK101" si="441">+AI94+AI83</f>
        <v>200</v>
      </c>
      <c r="AJ101" s="37">
        <f t="shared" si="441"/>
        <v>200</v>
      </c>
      <c r="AK101" s="37">
        <f t="shared" si="441"/>
        <v>200</v>
      </c>
      <c r="AL101" s="55">
        <f>+AL94+AL83</f>
        <v>800</v>
      </c>
    </row>
    <row r="102" spans="1:38" outlineLevel="1" x14ac:dyDescent="0.25">
      <c r="A102" s="293"/>
      <c r="B102" s="559" t="s">
        <v>338</v>
      </c>
      <c r="C102" s="560"/>
      <c r="D102" s="320">
        <f t="shared" ref="D102:G102" si="442">+D98+D97+D90</f>
        <v>1504</v>
      </c>
      <c r="E102" s="320">
        <f>+E98+E97+E90</f>
        <v>1529.4</v>
      </c>
      <c r="F102" s="320">
        <f t="shared" si="442"/>
        <v>1585.3</v>
      </c>
      <c r="G102" s="320">
        <f t="shared" si="442"/>
        <v>1572.1000000000001</v>
      </c>
      <c r="H102" s="375">
        <f>SUM(D102:G102)</f>
        <v>6190.8</v>
      </c>
      <c r="I102" s="320">
        <f>+I98+I97+I90</f>
        <v>1571.1</v>
      </c>
      <c r="J102" s="320">
        <f t="shared" ref="J102:L102" si="443">+J98+J97+J90</f>
        <v>1134.5999999999999</v>
      </c>
      <c r="K102" s="320">
        <f t="shared" si="443"/>
        <v>949.6</v>
      </c>
      <c r="L102" s="221">
        <f t="shared" si="443"/>
        <v>1345.2692603640617</v>
      </c>
      <c r="M102" s="223">
        <f>SUM(I102:L102)</f>
        <v>5000.5692603640618</v>
      </c>
      <c r="N102" s="221">
        <f>+N98+N97+N90</f>
        <v>1640.1498435520518</v>
      </c>
      <c r="O102" s="221">
        <f t="shared" ref="O102:Q102" si="444">+O98+O97+O90</f>
        <v>1302.8966840625001</v>
      </c>
      <c r="P102" s="221">
        <f t="shared" si="444"/>
        <v>1523.2195024375001</v>
      </c>
      <c r="Q102" s="221">
        <f t="shared" si="444"/>
        <v>1625.4930705300528</v>
      </c>
      <c r="R102" s="223">
        <f>SUM(N102:Q102)</f>
        <v>6091.759100582105</v>
      </c>
      <c r="S102" s="221">
        <f>+S98+S97+S90</f>
        <v>1831.2506909491574</v>
      </c>
      <c r="T102" s="221">
        <f t="shared" ref="T102:V102" si="445">+T98+T97+T90</f>
        <v>1396.4076421140626</v>
      </c>
      <c r="U102" s="221">
        <f t="shared" si="445"/>
        <v>1624.8994572586719</v>
      </c>
      <c r="V102" s="221">
        <f t="shared" si="445"/>
        <v>1745.8051715348181</v>
      </c>
      <c r="W102" s="223">
        <f>SUM(S102:V102)</f>
        <v>6598.3629618567102</v>
      </c>
      <c r="X102" s="221">
        <f>+X98+X97+X90</f>
        <v>1964.6495984536755</v>
      </c>
      <c r="Y102" s="221">
        <f t="shared" ref="Y102:AA102" si="446">+Y98+Y97+Y90</f>
        <v>1487.8273186143679</v>
      </c>
      <c r="Z102" s="221">
        <f t="shared" si="446"/>
        <v>1731.9510950552708</v>
      </c>
      <c r="AA102" s="221">
        <f t="shared" si="446"/>
        <v>1857.462548965156</v>
      </c>
      <c r="AB102" s="223">
        <f>SUM(X102:AA102)</f>
        <v>7041.8905610884703</v>
      </c>
      <c r="AC102" s="221">
        <f>+AC98+AC97+AC90</f>
        <v>2116.8432982203731</v>
      </c>
      <c r="AD102" s="221">
        <f t="shared" ref="AD102:AF102" si="447">+AD98+AD97+AD90</f>
        <v>1598.3628177451901</v>
      </c>
      <c r="AE102" s="221">
        <f t="shared" si="447"/>
        <v>1863.0957068480225</v>
      </c>
      <c r="AF102" s="221">
        <f t="shared" si="447"/>
        <v>1998.5611572279297</v>
      </c>
      <c r="AG102" s="223">
        <f>SUM(AC102:AF102)</f>
        <v>7576.8629800415156</v>
      </c>
      <c r="AH102" s="221">
        <f>+AH98+AH97+AH90</f>
        <v>2285.1334379435284</v>
      </c>
      <c r="AI102" s="221">
        <f t="shared" ref="AI102:AK102" si="448">+AI98+AI97+AI90</f>
        <v>1724.1641799034078</v>
      </c>
      <c r="AJ102" s="221">
        <f t="shared" si="448"/>
        <v>2017.0163556310717</v>
      </c>
      <c r="AK102" s="221">
        <f t="shared" si="448"/>
        <v>2168.5452562455016</v>
      </c>
      <c r="AL102" s="223">
        <f>SUM(AH102:AK102)</f>
        <v>8194.85922972351</v>
      </c>
    </row>
    <row r="103" spans="1:38" outlineLevel="1" x14ac:dyDescent="0.25">
      <c r="A103" s="293"/>
      <c r="B103" s="553" t="s">
        <v>300</v>
      </c>
      <c r="C103" s="554"/>
      <c r="D103" s="300">
        <v>462.7</v>
      </c>
      <c r="E103" s="300">
        <v>470.2</v>
      </c>
      <c r="F103" s="300">
        <v>476.1</v>
      </c>
      <c r="G103" s="300">
        <v>486.1</v>
      </c>
      <c r="H103" s="376"/>
      <c r="I103" s="300">
        <v>488.5</v>
      </c>
      <c r="J103" s="300">
        <v>387.7</v>
      </c>
      <c r="K103" s="300">
        <v>337.7</v>
      </c>
      <c r="L103" s="187">
        <f>+(L102*L114)*(K103/K113)</f>
        <v>432.43021927306711</v>
      </c>
      <c r="M103" s="234"/>
      <c r="N103" s="187">
        <f>+(N102*N114)*(L103/L113)</f>
        <v>479.28921766795293</v>
      </c>
      <c r="O103" s="187">
        <f>+(O102*O114)*(N103/N113)</f>
        <v>371.21774360429077</v>
      </c>
      <c r="P103" s="187">
        <f>+(P102*P114)*(O103/O113)</f>
        <v>445.119503275841</v>
      </c>
      <c r="Q103" s="187">
        <f>+(Q102*Q114)*(P103/P113)</f>
        <v>456.59968483173731</v>
      </c>
      <c r="R103" s="234"/>
      <c r="S103" s="187">
        <f>+(S102*S114)*(Q103/Q113)</f>
        <v>521.75491563023661</v>
      </c>
      <c r="T103" s="187">
        <f>+(T102*T114)*(S103/S113)</f>
        <v>402.96140615047716</v>
      </c>
      <c r="U103" s="187">
        <f>+(U102*U114)*(T103/T113)</f>
        <v>457.02648022878873</v>
      </c>
      <c r="V103" s="187">
        <f>+(V102*V114)*(U103/U113)</f>
        <v>484.65591009708407</v>
      </c>
      <c r="W103" s="234"/>
      <c r="X103" s="187">
        <f>+(X102*X114)*(V103/V113)</f>
        <v>545.40967954822372</v>
      </c>
      <c r="Y103" s="187">
        <f>+(Y102*Y114)*(X103/X113)</f>
        <v>423.90767191664276</v>
      </c>
      <c r="Z103" s="187">
        <f>+(Z102*Z114)*(Y103/Y113)</f>
        <v>487.13630210505892</v>
      </c>
      <c r="AA103" s="187">
        <f>+(AA102*AA114)*(Z103/Z113)</f>
        <v>515.65330245214204</v>
      </c>
      <c r="AB103" s="234"/>
      <c r="AC103" s="187">
        <f>+(AC102*AC114)*(AA103/AA113)</f>
        <v>587.66042852877797</v>
      </c>
      <c r="AD103" s="187">
        <f>+(AD102*AD114)*(AC103/AC113)</f>
        <v>455.40114264033497</v>
      </c>
      <c r="AE103" s="187">
        <f>+(AE102*AE114)*(AD103/AD113)</f>
        <v>524.02262147753868</v>
      </c>
      <c r="AF103" s="187">
        <f>+(AF102*AF114)*(AE103/AE113)</f>
        <v>554.82392441845616</v>
      </c>
      <c r="AG103" s="234"/>
      <c r="AH103" s="187">
        <f>+(AH102*AH114)*(AF103/AF113)</f>
        <v>634.37973727969995</v>
      </c>
      <c r="AI103" s="187">
        <f>+(AI102*AI114)*(AH103/AH113)</f>
        <v>491.24412111588657</v>
      </c>
      <c r="AJ103" s="187">
        <f>+(AJ102*AJ114)*(AI103/AI113)</f>
        <v>567.31503076083504</v>
      </c>
      <c r="AK103" s="187">
        <f>+(AK102*AK114)*(AJ103/AJ113)</f>
        <v>602.01349605832422</v>
      </c>
      <c r="AL103" s="234"/>
    </row>
    <row r="104" spans="1:38" outlineLevel="1" x14ac:dyDescent="0.25">
      <c r="A104" s="293"/>
      <c r="B104" s="50" t="s">
        <v>158</v>
      </c>
      <c r="C104" s="39"/>
      <c r="D104" s="300">
        <v>603.70000000000005</v>
      </c>
      <c r="E104" s="300">
        <v>618.4</v>
      </c>
      <c r="F104" s="300">
        <v>609.20000000000005</v>
      </c>
      <c r="G104" s="300">
        <v>597.29999999999995</v>
      </c>
      <c r="H104" s="313"/>
      <c r="I104" s="300">
        <v>607.1</v>
      </c>
      <c r="J104" s="300">
        <v>562.79999999999995</v>
      </c>
      <c r="K104" s="300">
        <v>483.4</v>
      </c>
      <c r="L104" s="187">
        <f>+(L102*L114)*(K104/K113)</f>
        <v>619.00138583535863</v>
      </c>
      <c r="M104" s="188"/>
      <c r="N104" s="187">
        <f>+(N102*N114)*(L104/L113)</f>
        <v>686.07760681281741</v>
      </c>
      <c r="O104" s="187">
        <f>+(O102*O114)*(N104/N113)</f>
        <v>531.37890807910617</v>
      </c>
      <c r="P104" s="187">
        <f>+(P102*P114)*(O104/O113)</f>
        <v>637.16543643334774</v>
      </c>
      <c r="Q104" s="187">
        <f>+(Q102*Q114)*(P104/P113)</f>
        <v>653.59871971472251</v>
      </c>
      <c r="R104" s="188"/>
      <c r="S104" s="187">
        <f>+(S102*S114)*(Q104/Q113)</f>
        <v>746.86504653732993</v>
      </c>
      <c r="T104" s="187">
        <f>+(T102*T114)*(S104/S113)</f>
        <v>576.81831132111529</v>
      </c>
      <c r="U104" s="187">
        <f>+(U102*U114)*(T104/T113)</f>
        <v>654.20965514538477</v>
      </c>
      <c r="V104" s="187">
        <f>+(V102*V114)*(U104/U113)</f>
        <v>693.75974812238792</v>
      </c>
      <c r="W104" s="188"/>
      <c r="X104" s="187">
        <f>+(X102*X114)*(V104/V113)</f>
        <v>780.72561176669035</v>
      </c>
      <c r="Y104" s="187">
        <f>+(Y102*Y114)*(X104/X113)</f>
        <v>606.80180220463444</v>
      </c>
      <c r="Z104" s="187">
        <f>+(Z102*Z114)*(Y104/Y113)</f>
        <v>697.31030037780704</v>
      </c>
      <c r="AA104" s="187">
        <f>+(AA102*AA114)*(Z104/Z113)</f>
        <v>738.13090436886409</v>
      </c>
      <c r="AB104" s="188"/>
      <c r="AC104" s="187">
        <f>+(AC102*AC114)*(AA104/AA113)</f>
        <v>841.20536319458449</v>
      </c>
      <c r="AD104" s="187">
        <f>+(AD102*AD114)*(AC104/AC113)</f>
        <v>651.88306885501288</v>
      </c>
      <c r="AE104" s="187">
        <f>+(AE102*AE114)*(AD104/AD113)</f>
        <v>750.11114960687632</v>
      </c>
      <c r="AF104" s="187">
        <f>+(AF102*AF114)*(AE104/AE113)</f>
        <v>794.20161404762098</v>
      </c>
      <c r="AG104" s="188"/>
      <c r="AH104" s="187">
        <f>+(AH102*AH114)*(AF104/AF113)</f>
        <v>908.08162570626848</v>
      </c>
      <c r="AI104" s="187">
        <f>+(AI102*AI114)*(AH104/AH113)</f>
        <v>703.19042981172493</v>
      </c>
      <c r="AJ104" s="187">
        <f>+(AJ102*AJ114)*(AI104/AI113)</f>
        <v>812.08198362388976</v>
      </c>
      <c r="AK104" s="187">
        <f>+(AK102*AK114)*(AJ104/AJ113)</f>
        <v>861.75103344564343</v>
      </c>
      <c r="AL104" s="188"/>
    </row>
    <row r="105" spans="1:38" outlineLevel="1" x14ac:dyDescent="0.25">
      <c r="A105" s="293"/>
      <c r="B105" s="50" t="s">
        <v>159</v>
      </c>
      <c r="C105" s="39"/>
      <c r="D105" s="300">
        <v>31.3</v>
      </c>
      <c r="E105" s="300">
        <v>26.3</v>
      </c>
      <c r="F105" s="300">
        <v>26.7</v>
      </c>
      <c r="G105" s="300">
        <v>31.9</v>
      </c>
      <c r="H105" s="313"/>
      <c r="I105" s="300">
        <v>35.9</v>
      </c>
      <c r="J105" s="300">
        <v>31.8</v>
      </c>
      <c r="K105" s="300">
        <v>37.5</v>
      </c>
      <c r="L105" s="187">
        <f>+(L102*L114)*(K105/K113)</f>
        <v>48.019346232573341</v>
      </c>
      <c r="M105" s="188"/>
      <c r="N105" s="187">
        <f>+(N102*N114)*(L105/L113)</f>
        <v>53.222818070915707</v>
      </c>
      <c r="O105" s="187">
        <f>+(O102*O114)*(N105/N113)</f>
        <v>41.221988111225656</v>
      </c>
      <c r="P105" s="187">
        <f>+(P102*P114)*(O105/O113)</f>
        <v>49.42843166373715</v>
      </c>
      <c r="Q105" s="187">
        <f>+(Q102*Q114)*(P105/P113)</f>
        <v>50.703251943115625</v>
      </c>
      <c r="R105" s="188"/>
      <c r="S105" s="187">
        <f>+(S102*S114)*(Q105/Q113)</f>
        <v>57.938434516238871</v>
      </c>
      <c r="T105" s="187">
        <f>+(T102*T114)*(S105/S113)</f>
        <v>44.746972847624782</v>
      </c>
      <c r="U105" s="187">
        <f>+(U102*U114)*(T105/T113)</f>
        <v>50.750645568787611</v>
      </c>
      <c r="V105" s="187">
        <f>+(V102*V114)*(U105/U113)</f>
        <v>53.818764076519543</v>
      </c>
      <c r="W105" s="188"/>
      <c r="X105" s="187">
        <f>+(X102*X114)*(V105/V113)</f>
        <v>60.565185025343162</v>
      </c>
      <c r="Y105" s="187">
        <f>+(Y102*Y114)*(X105/X113)</f>
        <v>47.07295734934587</v>
      </c>
      <c r="Z105" s="187">
        <f>+(Z102*Z114)*(Y105/Y113)</f>
        <v>54.094199967248166</v>
      </c>
      <c r="AA105" s="187">
        <f>+(AA102*AA114)*(Z105/Z113)</f>
        <v>57.260879010824169</v>
      </c>
      <c r="AB105" s="188"/>
      <c r="AC105" s="187">
        <f>+(AC102*AC114)*(AA105/AA113)</f>
        <v>65.256932395111534</v>
      </c>
      <c r="AD105" s="187">
        <f>+(AD102*AD114)*(AC105/AC113)</f>
        <v>50.570159458136075</v>
      </c>
      <c r="AE105" s="187">
        <f>+(AE102*AE114)*(AD105/AD113)</f>
        <v>58.190252607070455</v>
      </c>
      <c r="AF105" s="187">
        <f>+(AF102*AF114)*(AE105/AE113)</f>
        <v>61.610592732283372</v>
      </c>
      <c r="AG105" s="188"/>
      <c r="AH105" s="187">
        <f>+(AH102*AH114)*(AF105/AF113)</f>
        <v>70.444892354127148</v>
      </c>
      <c r="AI105" s="187">
        <f>+(AI102*AI114)*(AH105/AH113)</f>
        <v>54.550353988290617</v>
      </c>
      <c r="AJ105" s="187">
        <f>+(AJ102*AJ114)*(AI105/AI113)</f>
        <v>62.997671464410153</v>
      </c>
      <c r="AK105" s="187">
        <f>+(AK102*AK114)*(AJ105/AJ113)</f>
        <v>66.850773177930563</v>
      </c>
      <c r="AL105" s="188"/>
    </row>
    <row r="106" spans="1:38" outlineLevel="1" x14ac:dyDescent="0.25">
      <c r="A106" s="293"/>
      <c r="B106" s="50" t="s">
        <v>160</v>
      </c>
      <c r="C106" s="39"/>
      <c r="D106" s="329">
        <v>127</v>
      </c>
      <c r="E106" s="329">
        <v>130.4</v>
      </c>
      <c r="F106" s="329">
        <v>127.7</v>
      </c>
      <c r="G106" s="329">
        <v>126.5</v>
      </c>
      <c r="H106" s="377"/>
      <c r="I106" s="329">
        <v>126.6</v>
      </c>
      <c r="J106" s="329">
        <v>130</v>
      </c>
      <c r="K106" s="329">
        <v>128.5</v>
      </c>
      <c r="L106" s="224">
        <f>(K106/(K73+K106+K120+K134))*L243</f>
        <v>131.16796993891367</v>
      </c>
      <c r="M106" s="18"/>
      <c r="N106" s="224">
        <f>(L106/(L73+L106+L120+L134))*N243</f>
        <v>131.35777161767271</v>
      </c>
      <c r="O106" s="224">
        <f>(N106/(N73+N106+N120+N134))*O243</f>
        <v>133.21945575288851</v>
      </c>
      <c r="P106" s="224">
        <f>(O106/(O73+O106+O120+O134))*P243</f>
        <v>134.23929051766399</v>
      </c>
      <c r="Q106" s="224">
        <f>(P106/(P73+P106+P120+P134))*Q243</f>
        <v>135.29620988700404</v>
      </c>
      <c r="R106" s="18"/>
      <c r="S106" s="224">
        <f>(Q106/(Q73+Q106+Q120+Q134))*S243</f>
        <v>136.86728221208244</v>
      </c>
      <c r="T106" s="224">
        <f>(S106/(S73+S106+S120+S134))*T243</f>
        <v>138.77679531852272</v>
      </c>
      <c r="U106" s="224">
        <f>(T106/(T73+T106+T120+T134))*U243</f>
        <v>139.58309389246574</v>
      </c>
      <c r="V106" s="224">
        <f>(U106/(U73+U106+U120+U134))*V243</f>
        <v>140.56586747926508</v>
      </c>
      <c r="W106" s="18"/>
      <c r="X106" s="224">
        <f>(V106/(V73+V106+V120+V134))*X243</f>
        <v>141.93727712847362</v>
      </c>
      <c r="Y106" s="224">
        <f>(X106/(X73+X106+X120+X134))*Y243</f>
        <v>142.35728220902669</v>
      </c>
      <c r="Z106" s="224">
        <f>(Y106/(Y73+Y106+Y120+Y134))*Z243</f>
        <v>141.96929629484418</v>
      </c>
      <c r="AA106" s="224">
        <f>(Z106/(Z73+Z106+Z120+Z134))*AA243</f>
        <v>141.8112221217327</v>
      </c>
      <c r="AB106" s="18"/>
      <c r="AC106" s="224">
        <f>(AA106/(AA73+AA106+AA120+AA134))*AC243</f>
        <v>142.01186688755411</v>
      </c>
      <c r="AD106" s="224">
        <f>(AC106/(AC73+AC106+AC120+AC134))*AD243</f>
        <v>142.9963673488021</v>
      </c>
      <c r="AE106" s="224">
        <f>(AD106/(AD73+AD106+AD120+AD134))*AE243</f>
        <v>143.10454076300735</v>
      </c>
      <c r="AF106" s="224">
        <f>(AE106/(AE73+AE106+AE120+AE134))*AF243</f>
        <v>143.43048453293676</v>
      </c>
      <c r="AG106" s="18"/>
      <c r="AH106" s="224">
        <f>(AF106/(AF73+AF106+AF120+AF134))*AH243</f>
        <v>144.10551308194675</v>
      </c>
      <c r="AI106" s="224">
        <f>(AH106/(AH73+AH106+AH120+AH134))*AI243</f>
        <v>145.60989116344336</v>
      </c>
      <c r="AJ106" s="224">
        <f>(AI106/(AI73+AI106+AI120+AI134))*AJ243</f>
        <v>146.14749727355681</v>
      </c>
      <c r="AK106" s="224">
        <f>(AJ106/(AJ73+AJ106+AJ120+AJ134))*AK243</f>
        <v>146.90249587624893</v>
      </c>
      <c r="AL106" s="18"/>
    </row>
    <row r="107" spans="1:38" outlineLevel="1" x14ac:dyDescent="0.25">
      <c r="A107" s="293"/>
      <c r="B107" s="50" t="s">
        <v>161</v>
      </c>
      <c r="C107" s="39"/>
      <c r="D107" s="300">
        <v>69.3</v>
      </c>
      <c r="E107" s="300">
        <v>80.2</v>
      </c>
      <c r="F107" s="300">
        <v>86</v>
      </c>
      <c r="G107" s="300">
        <v>82.4</v>
      </c>
      <c r="H107" s="313"/>
      <c r="I107" s="300">
        <v>67.2</v>
      </c>
      <c r="J107" s="300">
        <v>63.7</v>
      </c>
      <c r="K107" s="300">
        <v>66.099999999999994</v>
      </c>
      <c r="L107" s="187">
        <f t="shared" ref="L107" si="449">+(L102*L114)*(K107/K113)</f>
        <v>84.642100959282601</v>
      </c>
      <c r="M107" s="188"/>
      <c r="N107" s="187">
        <f>+(N102*N114)*(L107/L113)</f>
        <v>93.814087319667422</v>
      </c>
      <c r="O107" s="187">
        <f>+(O102*O114)*(N107/N113)</f>
        <v>72.66062437738708</v>
      </c>
      <c r="P107" s="187">
        <f t="shared" ref="P107:Q107" si="450">+(P102*P114)*(O107/O113)</f>
        <v>87.125848879280667</v>
      </c>
      <c r="Q107" s="187">
        <f t="shared" si="450"/>
        <v>89.372932091731798</v>
      </c>
      <c r="R107" s="188"/>
      <c r="S107" s="187">
        <f>+(S102*S114)*(Q107/Q113)</f>
        <v>102.12614724062371</v>
      </c>
      <c r="T107" s="187">
        <f>+(T102*T114)*(S107/S113)</f>
        <v>78.873997472746609</v>
      </c>
      <c r="U107" s="187">
        <f t="shared" ref="U107:V107" si="451">+(U102*U114)*(T107/T113)</f>
        <v>89.456471255916284</v>
      </c>
      <c r="V107" s="187">
        <f t="shared" si="451"/>
        <v>94.864541478878436</v>
      </c>
      <c r="W107" s="188"/>
      <c r="X107" s="187">
        <f>+(X102*X114)*(V107/V113)</f>
        <v>106.75623280467154</v>
      </c>
      <c r="Y107" s="187">
        <f>+(Y102*Y114)*(X107/X113)</f>
        <v>82.973932821113635</v>
      </c>
      <c r="Z107" s="187">
        <f t="shared" ref="Z107:AA107" si="452">+(Z102*Z114)*(Y107/Y113)</f>
        <v>95.350043142269428</v>
      </c>
      <c r="AA107" s="187">
        <f t="shared" si="452"/>
        <v>100.93184273641272</v>
      </c>
      <c r="AB107" s="188"/>
      <c r="AC107" s="187">
        <f>+(AC102*AC114)*(AA107/AA113)</f>
        <v>115.02621950178326</v>
      </c>
      <c r="AD107" s="187">
        <f>+(AD102*AD114)*(AC107/AC113)</f>
        <v>89.138334404874527</v>
      </c>
      <c r="AE107" s="187">
        <f t="shared" ref="AE107" si="453">+(AE102*AE114)*(AD107/AD113)</f>
        <v>102.57001859539619</v>
      </c>
      <c r="AF107" s="187">
        <f t="shared" ref="AF107" si="454">+(AF102*AF114)*(AE107/AE113)</f>
        <v>108.5989381227715</v>
      </c>
      <c r="AG107" s="188"/>
      <c r="AH107" s="187">
        <f>+(AH102*AH114)*(AF107/AF113)</f>
        <v>124.17086358954145</v>
      </c>
      <c r="AI107" s="187">
        <f>+(AI102*AI114)*(AH107/AH113)</f>
        <v>96.154090630026914</v>
      </c>
      <c r="AJ107" s="187">
        <f t="shared" ref="AJ107" si="455">+(AJ102*AJ114)*(AI107/AI113)</f>
        <v>111.04389556793362</v>
      </c>
      <c r="AK107" s="187">
        <f t="shared" ref="AK107" si="456">+(AK102*AK114)*(AJ107/AJ113)</f>
        <v>117.83562952163226</v>
      </c>
      <c r="AL107" s="188"/>
    </row>
    <row r="108" spans="1:38" ht="17.25" outlineLevel="1" x14ac:dyDescent="0.4">
      <c r="A108" s="293"/>
      <c r="B108" s="50" t="s">
        <v>169</v>
      </c>
      <c r="C108" s="39"/>
      <c r="D108" s="330">
        <v>6.4</v>
      </c>
      <c r="E108" s="330">
        <v>24.2</v>
      </c>
      <c r="F108" s="330">
        <v>16.600000000000001</v>
      </c>
      <c r="G108" s="330">
        <v>12</v>
      </c>
      <c r="H108" s="378"/>
      <c r="I108" s="330">
        <v>0.8</v>
      </c>
      <c r="J108" s="330">
        <v>-1.2</v>
      </c>
      <c r="K108" s="330">
        <v>-0.2</v>
      </c>
      <c r="L108" s="225">
        <f>+(L102*L114)*(K108/K113)</f>
        <v>-0.25610317990705783</v>
      </c>
      <c r="M108" s="235"/>
      <c r="N108" s="225">
        <f>+(N102*N114)*(L108/L113)</f>
        <v>-0.28385502971155047</v>
      </c>
      <c r="O108" s="225">
        <f>+(O102*O114)*(N108/N113)</f>
        <v>-0.21985060325987019</v>
      </c>
      <c r="P108" s="225">
        <f t="shared" ref="P108" si="457">+(P102*P114)*(O108/O113)</f>
        <v>-0.26361830220659821</v>
      </c>
      <c r="Q108" s="225">
        <f>+(Q102*Q114)*(P108/P113)</f>
        <v>-0.27041734369661674</v>
      </c>
      <c r="R108" s="235"/>
      <c r="S108" s="225">
        <f>+(S102*S114)*(Q108/Q113)</f>
        <v>-0.30900498408660743</v>
      </c>
      <c r="T108" s="225">
        <f>+(T102*T114)*(S108/S113)</f>
        <v>-0.2386505218539989</v>
      </c>
      <c r="U108" s="225">
        <f t="shared" ref="U108" si="458">+(U102*U114)*(T108/T113)</f>
        <v>-0.27067010970020061</v>
      </c>
      <c r="V108" s="225">
        <f>+(V102*V114)*(U108/U113)</f>
        <v>-0.28703340840810426</v>
      </c>
      <c r="W108" s="235"/>
      <c r="X108" s="225">
        <f>+(X102*X114)*(V108/V113)</f>
        <v>-0.32301432013516357</v>
      </c>
      <c r="Y108" s="225">
        <f>+(Y102*Y114)*(X108/X113)</f>
        <v>-0.25105577252984462</v>
      </c>
      <c r="Z108" s="225">
        <f t="shared" ref="Z108" si="459">+(Z102*Z114)*(Y108/Y113)</f>
        <v>-0.28850239982532355</v>
      </c>
      <c r="AA108" s="225">
        <f>+(AA102*AA114)*(Z108/Z113)</f>
        <v>-0.3053913547243956</v>
      </c>
      <c r="AB108" s="235"/>
      <c r="AC108" s="225">
        <f>+(AC102*AC114)*(AA108/AA113)</f>
        <v>-0.34803697277392825</v>
      </c>
      <c r="AD108" s="225">
        <f>+(AD102*AD114)*(AC108/AC113)</f>
        <v>-0.26970751711005914</v>
      </c>
      <c r="AE108" s="225">
        <f t="shared" ref="AE108" si="460">+(AE102*AE114)*(AD108/AD113)</f>
        <v>-0.31034801390437583</v>
      </c>
      <c r="AF108" s="225">
        <f>+(AF102*AF114)*(AE108/AE113)</f>
        <v>-0.32858982790551139</v>
      </c>
      <c r="AG108" s="235"/>
      <c r="AH108" s="225">
        <f>+(AH102*AH114)*(AF108/AF113)</f>
        <v>-0.37570609255534482</v>
      </c>
      <c r="AI108" s="225">
        <f>+(AI102*AI114)*(AH108/AH113)</f>
        <v>-0.29093522127088328</v>
      </c>
      <c r="AJ108" s="225">
        <f t="shared" ref="AJ108" si="461">+(AJ102*AJ114)*(AI108/AI113)</f>
        <v>-0.33598758114352079</v>
      </c>
      <c r="AK108" s="225">
        <f>+(AK102*AK114)*(AJ108/AJ113)</f>
        <v>-0.35653745694896294</v>
      </c>
      <c r="AL108" s="235"/>
    </row>
    <row r="109" spans="1:38" outlineLevel="1" x14ac:dyDescent="0.25">
      <c r="A109" s="293"/>
      <c r="B109" s="185" t="s">
        <v>339</v>
      </c>
      <c r="C109" s="42"/>
      <c r="D109" s="298">
        <f t="shared" ref="D109:E109" si="462">SUM(D103:D108)</f>
        <v>1300.4000000000001</v>
      </c>
      <c r="E109" s="298">
        <f t="shared" si="462"/>
        <v>1349.7</v>
      </c>
      <c r="F109" s="298">
        <f t="shared" ref="F109" si="463">SUM(F103:F108)</f>
        <v>1342.3000000000002</v>
      </c>
      <c r="G109" s="298">
        <f t="shared" ref="G109" si="464">SUM(G103:G108)</f>
        <v>1336.2000000000003</v>
      </c>
      <c r="H109" s="377"/>
      <c r="I109" s="298">
        <f t="shared" ref="I109" si="465">SUM(I103:I108)</f>
        <v>1326.1</v>
      </c>
      <c r="J109" s="298">
        <f t="shared" ref="J109" si="466">SUM(J103:J108)</f>
        <v>1174.8</v>
      </c>
      <c r="K109" s="298">
        <f t="shared" ref="K109" si="467">SUM(K103:K108)</f>
        <v>1052.9999999999998</v>
      </c>
      <c r="L109" s="189">
        <f t="shared" ref="L109" si="468">SUM(L103:L108)</f>
        <v>1315.0049190592881</v>
      </c>
      <c r="M109" s="18"/>
      <c r="N109" s="189">
        <f t="shared" ref="N109" si="469">SUM(N103:N108)</f>
        <v>1443.4776464593149</v>
      </c>
      <c r="O109" s="189">
        <f t="shared" ref="O109" si="470">SUM(O103:O108)</f>
        <v>1149.4788693216385</v>
      </c>
      <c r="P109" s="189">
        <f t="shared" ref="P109" si="471">SUM(P103:P108)</f>
        <v>1352.8148924676639</v>
      </c>
      <c r="Q109" s="189">
        <f t="shared" ref="Q109" si="472">SUM(Q103:Q108)</f>
        <v>1385.3003811246149</v>
      </c>
      <c r="R109" s="18"/>
      <c r="S109" s="189">
        <f t="shared" ref="S109" si="473">SUM(S103:S108)</f>
        <v>1565.2428211524248</v>
      </c>
      <c r="T109" s="189">
        <f t="shared" ref="T109" si="474">SUM(T103:T108)</f>
        <v>1241.9388325886327</v>
      </c>
      <c r="U109" s="189">
        <f t="shared" ref="U109" si="475">SUM(U103:U108)</f>
        <v>1390.755675981643</v>
      </c>
      <c r="V109" s="189">
        <f t="shared" ref="V109" si="476">SUM(V103:V108)</f>
        <v>1467.3777978457267</v>
      </c>
      <c r="W109" s="18"/>
      <c r="X109" s="189">
        <f t="shared" ref="X109" si="477">SUM(X103:X108)</f>
        <v>1635.0709719532672</v>
      </c>
      <c r="Y109" s="189">
        <f t="shared" ref="Y109" si="478">SUM(Y103:Y108)</f>
        <v>1302.8625907282337</v>
      </c>
      <c r="Z109" s="189">
        <f t="shared" ref="Z109" si="479">SUM(Z103:Z108)</f>
        <v>1475.5716394874023</v>
      </c>
      <c r="AA109" s="189">
        <f t="shared" ref="AA109" si="480">SUM(AA103:AA108)</f>
        <v>1553.4827593352516</v>
      </c>
      <c r="AB109" s="18"/>
      <c r="AC109" s="189">
        <f t="shared" ref="AC109:AF109" si="481">SUM(AC103:AC108)</f>
        <v>1750.8127735350374</v>
      </c>
      <c r="AD109" s="189">
        <f t="shared" si="481"/>
        <v>1389.7193651900504</v>
      </c>
      <c r="AE109" s="189">
        <f t="shared" si="481"/>
        <v>1577.6882350359849</v>
      </c>
      <c r="AF109" s="189">
        <f t="shared" si="481"/>
        <v>1662.3369640261633</v>
      </c>
      <c r="AG109" s="18"/>
      <c r="AH109" s="189">
        <f t="shared" ref="AH109:AK109" si="482">SUM(AH103:AH108)</f>
        <v>1880.8069259190283</v>
      </c>
      <c r="AI109" s="189">
        <f t="shared" si="482"/>
        <v>1490.4579514881016</v>
      </c>
      <c r="AJ109" s="189">
        <f t="shared" si="482"/>
        <v>1699.2500911094817</v>
      </c>
      <c r="AK109" s="189">
        <f t="shared" si="482"/>
        <v>1794.9968906228303</v>
      </c>
      <c r="AL109" s="18"/>
    </row>
    <row r="110" spans="1:38" ht="17.25" outlineLevel="1" x14ac:dyDescent="0.4">
      <c r="A110" s="293"/>
      <c r="B110" s="50" t="s">
        <v>162</v>
      </c>
      <c r="C110" s="39"/>
      <c r="D110" s="330">
        <v>26.4</v>
      </c>
      <c r="E110" s="299">
        <v>22.1</v>
      </c>
      <c r="F110" s="299">
        <v>27.2</v>
      </c>
      <c r="G110" s="299">
        <v>26.8</v>
      </c>
      <c r="H110" s="374"/>
      <c r="I110" s="299">
        <v>30.9</v>
      </c>
      <c r="J110" s="299">
        <v>24.8</v>
      </c>
      <c r="K110" s="299">
        <v>17.399999999999999</v>
      </c>
      <c r="L110" s="195">
        <f>AVERAGE(K110,J110,I110,G110)</f>
        <v>24.974999999999998</v>
      </c>
      <c r="M110" s="162"/>
      <c r="N110" s="195">
        <f>AVERAGE(L110,K110,J110,I110)</f>
        <v>24.518749999999997</v>
      </c>
      <c r="O110" s="195">
        <f>AVERAGE(N110,L110,K110,J110)</f>
        <v>22.923437499999995</v>
      </c>
      <c r="P110" s="195">
        <f>AVERAGE(O110,N110,L110,K110)</f>
        <v>22.454296874999997</v>
      </c>
      <c r="Q110" s="195">
        <f>AVERAGE(P110,O110,N110,L110)</f>
        <v>23.717871093749995</v>
      </c>
      <c r="R110" s="162"/>
      <c r="S110" s="195">
        <f>AVERAGE(Q110,P110,O110,N110)</f>
        <v>23.403588867187494</v>
      </c>
      <c r="T110" s="195">
        <f>AVERAGE(S110,Q110,P110,O110)</f>
        <v>23.124798583984369</v>
      </c>
      <c r="U110" s="195">
        <f>AVERAGE(T110,S110,Q110,P110)</f>
        <v>23.175138854980464</v>
      </c>
      <c r="V110" s="195">
        <f>AVERAGE(U110,T110,S110,Q110)</f>
        <v>23.35534934997558</v>
      </c>
      <c r="W110" s="162"/>
      <c r="X110" s="195">
        <f>AVERAGE(V110,U110,T110,S110)</f>
        <v>23.264718914031977</v>
      </c>
      <c r="Y110" s="195">
        <f>AVERAGE(X110,V110,U110,T110)</f>
        <v>23.230001425743097</v>
      </c>
      <c r="Z110" s="195">
        <f>AVERAGE(Y110,X110,V110,U110)</f>
        <v>23.256302136182779</v>
      </c>
      <c r="AA110" s="195">
        <f>AVERAGE(Z110,Y110,X110,V110)</f>
        <v>23.276592956483359</v>
      </c>
      <c r="AB110" s="162"/>
      <c r="AC110" s="195">
        <f>AVERAGE(AA110,Z110,Y110,X110)</f>
        <v>23.256903858110302</v>
      </c>
      <c r="AD110" s="195">
        <f>AVERAGE(AC110,AA110,Z110,Y110)</f>
        <v>23.254950094129885</v>
      </c>
      <c r="AE110" s="195">
        <f>AVERAGE(AD110,AC110,AA110,Z110)</f>
        <v>23.261187261226581</v>
      </c>
      <c r="AF110" s="195">
        <f>AVERAGE(AE110,AD110,AC110,AA110)</f>
        <v>23.262408542487531</v>
      </c>
      <c r="AG110" s="162"/>
      <c r="AH110" s="195">
        <f>AVERAGE(AF110,AE110,AD110,AC110)</f>
        <v>23.258862438988576</v>
      </c>
      <c r="AI110" s="195">
        <f>AVERAGE(AH110,AF110,AE110,AD110)</f>
        <v>23.259352084208142</v>
      </c>
      <c r="AJ110" s="195">
        <f>AVERAGE(AI110,AH110,AF110,AE110)</f>
        <v>23.260452581727709</v>
      </c>
      <c r="AK110" s="195">
        <f>AVERAGE(AJ110,AI110,AH110,AF110)</f>
        <v>23.26026891185299</v>
      </c>
      <c r="AL110" s="162"/>
    </row>
    <row r="111" spans="1:38" outlineLevel="1" x14ac:dyDescent="0.25">
      <c r="A111" s="293"/>
      <c r="B111" s="185" t="s">
        <v>340</v>
      </c>
      <c r="C111" s="161"/>
      <c r="D111" s="442">
        <f t="shared" ref="D111:AA111" si="483">+D102-D109+D110</f>
        <v>229.99999999999991</v>
      </c>
      <c r="E111" s="442">
        <f t="shared" si="483"/>
        <v>201.80000000000004</v>
      </c>
      <c r="F111" s="442">
        <f t="shared" si="483"/>
        <v>270.19999999999976</v>
      </c>
      <c r="G111" s="442">
        <f t="shared" si="483"/>
        <v>262.69999999999987</v>
      </c>
      <c r="H111" s="379">
        <f>SUM(D111:G111)</f>
        <v>964.69999999999959</v>
      </c>
      <c r="I111" s="442">
        <f t="shared" si="483"/>
        <v>275.89999999999998</v>
      </c>
      <c r="J111" s="442">
        <f t="shared" si="483"/>
        <v>-15.400000000000045</v>
      </c>
      <c r="K111" s="442">
        <f>+K102-K109+K110</f>
        <v>-85.999999999999744</v>
      </c>
      <c r="L111" s="226">
        <f t="shared" si="483"/>
        <v>55.239341304773546</v>
      </c>
      <c r="M111" s="265">
        <f>SUM(I111:L111)</f>
        <v>229.73934130477375</v>
      </c>
      <c r="N111" s="226">
        <f t="shared" si="483"/>
        <v>221.19094709273696</v>
      </c>
      <c r="O111" s="226">
        <f t="shared" si="483"/>
        <v>176.34125224086156</v>
      </c>
      <c r="P111" s="226">
        <f t="shared" si="483"/>
        <v>192.85890684483621</v>
      </c>
      <c r="Q111" s="226">
        <f t="shared" si="483"/>
        <v>263.91056049918791</v>
      </c>
      <c r="R111" s="265">
        <f>SUM(N111:Q111)</f>
        <v>854.30166667762262</v>
      </c>
      <c r="S111" s="226">
        <f t="shared" si="483"/>
        <v>289.41145866392014</v>
      </c>
      <c r="T111" s="226">
        <f t="shared" si="483"/>
        <v>177.59360810941419</v>
      </c>
      <c r="U111" s="226">
        <f t="shared" si="483"/>
        <v>257.31892013200934</v>
      </c>
      <c r="V111" s="226">
        <f t="shared" si="483"/>
        <v>301.78272303906698</v>
      </c>
      <c r="W111" s="265">
        <f>SUM(S111:V111)</f>
        <v>1026.1067099444106</v>
      </c>
      <c r="X111" s="226">
        <f t="shared" si="483"/>
        <v>352.84334541444025</v>
      </c>
      <c r="Y111" s="226">
        <f t="shared" si="483"/>
        <v>208.19472931187724</v>
      </c>
      <c r="Z111" s="226">
        <f t="shared" si="483"/>
        <v>279.63575770405129</v>
      </c>
      <c r="AA111" s="226">
        <f t="shared" si="483"/>
        <v>327.25638258638776</v>
      </c>
      <c r="AB111" s="265">
        <f>SUM(X111:AA111)</f>
        <v>1167.9302150167564</v>
      </c>
      <c r="AC111" s="226">
        <f t="shared" ref="AC111:AF111" si="484">+AC102-AC109+AC110</f>
        <v>389.28742854344597</v>
      </c>
      <c r="AD111" s="226">
        <f t="shared" si="484"/>
        <v>231.89840264926957</v>
      </c>
      <c r="AE111" s="226">
        <f t="shared" si="484"/>
        <v>308.66865907326417</v>
      </c>
      <c r="AF111" s="226">
        <f t="shared" si="484"/>
        <v>359.48660174425396</v>
      </c>
      <c r="AG111" s="265">
        <f>SUM(AC111:AF111)</f>
        <v>1289.3410920102338</v>
      </c>
      <c r="AH111" s="226">
        <f t="shared" ref="AH111:AK111" si="485">+AH102-AH109+AH110</f>
        <v>427.58537446348862</v>
      </c>
      <c r="AI111" s="226">
        <f t="shared" si="485"/>
        <v>256.96558049951437</v>
      </c>
      <c r="AJ111" s="226">
        <f t="shared" si="485"/>
        <v>341.02671710331776</v>
      </c>
      <c r="AK111" s="226">
        <f t="shared" si="485"/>
        <v>396.80863453452434</v>
      </c>
      <c r="AL111" s="265">
        <f>SUM(AH111:AK111)</f>
        <v>1422.386306600845</v>
      </c>
    </row>
    <row r="112" spans="1:38" outlineLevel="1" x14ac:dyDescent="0.25">
      <c r="A112" s="293"/>
      <c r="B112" s="185" t="s">
        <v>341</v>
      </c>
      <c r="C112" s="161"/>
      <c r="D112" s="443">
        <f t="shared" ref="D112" si="486">+D111/D102</f>
        <v>0.15292553191489355</v>
      </c>
      <c r="E112" s="443">
        <f t="shared" ref="E112" si="487">+E111/E102</f>
        <v>0.1319471688243756</v>
      </c>
      <c r="F112" s="443">
        <f t="shared" ref="F112" si="488">+F111/F102</f>
        <v>0.17044092600769556</v>
      </c>
      <c r="G112" s="443">
        <f t="shared" ref="G112" si="489">+G111/G102</f>
        <v>0.16710132943196987</v>
      </c>
      <c r="H112" s="380">
        <f>H111/H102</f>
        <v>0.15582800284292814</v>
      </c>
      <c r="I112" s="443">
        <f t="shared" ref="I112" si="490">+I111/I102</f>
        <v>0.17560944561135511</v>
      </c>
      <c r="J112" s="443">
        <f t="shared" ref="J112" si="491">+J111/J102</f>
        <v>-1.3573065397496956E-2</v>
      </c>
      <c r="K112" s="443">
        <f t="shared" ref="K112" si="492">+K111/K102</f>
        <v>-9.0564448188710761E-2</v>
      </c>
      <c r="L112" s="227">
        <f t="shared" ref="L112" si="493">+L111/L102</f>
        <v>4.1061921900917051E-2</v>
      </c>
      <c r="M112" s="266">
        <f>M111/M102</f>
        <v>4.5942637596433925E-2</v>
      </c>
      <c r="N112" s="227">
        <f t="shared" ref="N112" si="494">+N111/N102</f>
        <v>0.13486020680507246</v>
      </c>
      <c r="O112" s="227">
        <f t="shared" ref="O112" si="495">+O111/O102</f>
        <v>0.13534553767611129</v>
      </c>
      <c r="P112" s="227">
        <f t="shared" ref="P112" si="496">+P111/P102</f>
        <v>0.12661268224062114</v>
      </c>
      <c r="Q112" s="227">
        <f t="shared" ref="Q112" si="497">+Q111/Q102</f>
        <v>0.1623572350346163</v>
      </c>
      <c r="R112" s="266">
        <f>R111/R102</f>
        <v>0.14023891171205191</v>
      </c>
      <c r="S112" s="227">
        <f t="shared" ref="S112" si="498">+S111/S102</f>
        <v>0.15804032735349577</v>
      </c>
      <c r="T112" s="227">
        <f t="shared" ref="T112" si="499">+T111/T102</f>
        <v>0.12717891448986202</v>
      </c>
      <c r="U112" s="227">
        <f t="shared" ref="U112" si="500">+U111/U102</f>
        <v>0.15835990281277207</v>
      </c>
      <c r="V112" s="227">
        <f t="shared" ref="V112" si="501">+V111/V102</f>
        <v>0.17286162737950639</v>
      </c>
      <c r="W112" s="266">
        <f>W111/W102</f>
        <v>0.15550928554189067</v>
      </c>
      <c r="X112" s="227">
        <f t="shared" ref="X112" si="502">+X111/X102</f>
        <v>0.17959606928999147</v>
      </c>
      <c r="Y112" s="227">
        <f t="shared" ref="Y112" si="503">+Y111/Y102</f>
        <v>0.13993205172880652</v>
      </c>
      <c r="Z112" s="227">
        <f t="shared" ref="Z112" si="504">+Z111/Z102</f>
        <v>0.1614570749153442</v>
      </c>
      <c r="AA112" s="227">
        <f t="shared" ref="AA112" si="505">+AA111/AA102</f>
        <v>0.17618464650536905</v>
      </c>
      <c r="AB112" s="266">
        <f>AB111/AB102</f>
        <v>0.16585463873443504</v>
      </c>
      <c r="AC112" s="227">
        <f t="shared" ref="AC112:AF112" si="506">+AC111/AC102</f>
        <v>0.18389997449065754</v>
      </c>
      <c r="AD112" s="227">
        <f t="shared" si="506"/>
        <v>0.14508495823020243</v>
      </c>
      <c r="AE112" s="227">
        <f t="shared" si="506"/>
        <v>0.16567514912879516</v>
      </c>
      <c r="AF112" s="227">
        <f t="shared" si="506"/>
        <v>0.17987270514297082</v>
      </c>
      <c r="AG112" s="266">
        <f>AG111/AG102</f>
        <v>0.1701681943314183</v>
      </c>
      <c r="AH112" s="227">
        <f t="shared" ref="AH112:AK112" si="507">+AH111/AH102</f>
        <v>0.18711615145253296</v>
      </c>
      <c r="AI112" s="227">
        <f t="shared" si="507"/>
        <v>0.14903776768747756</v>
      </c>
      <c r="AJ112" s="227">
        <f t="shared" si="507"/>
        <v>0.16907483975092477</v>
      </c>
      <c r="AK112" s="227">
        <f t="shared" si="507"/>
        <v>0.18298379219511274</v>
      </c>
      <c r="AL112" s="266">
        <f>AL111/AL102</f>
        <v>0.17357056011916822</v>
      </c>
    </row>
    <row r="113" spans="1:38" s="228" customFormat="1" outlineLevel="1" x14ac:dyDescent="0.25">
      <c r="A113" s="309"/>
      <c r="B113" s="231" t="s">
        <v>190</v>
      </c>
      <c r="C113" s="229"/>
      <c r="D113" s="207">
        <f t="shared" ref="D113:G113" si="508">+D109-D106</f>
        <v>1173.4000000000001</v>
      </c>
      <c r="E113" s="207">
        <f t="shared" si="508"/>
        <v>1219.3</v>
      </c>
      <c r="F113" s="207">
        <f t="shared" si="508"/>
        <v>1214.6000000000001</v>
      </c>
      <c r="G113" s="207">
        <f t="shared" si="508"/>
        <v>1209.7000000000003</v>
      </c>
      <c r="H113" s="209"/>
      <c r="I113" s="207">
        <f t="shared" ref="I113:L113" si="509">+I109-I106</f>
        <v>1199.5</v>
      </c>
      <c r="J113" s="207">
        <f t="shared" si="509"/>
        <v>1044.8</v>
      </c>
      <c r="K113" s="207">
        <f t="shared" si="509"/>
        <v>924.49999999999977</v>
      </c>
      <c r="L113" s="207">
        <f t="shared" si="509"/>
        <v>1183.8369491203744</v>
      </c>
      <c r="M113" s="230"/>
      <c r="N113" s="207">
        <f t="shared" ref="N113:Q113" si="510">+N109-N106</f>
        <v>1312.1198748416423</v>
      </c>
      <c r="O113" s="207">
        <f t="shared" si="510"/>
        <v>1016.25941356875</v>
      </c>
      <c r="P113" s="207">
        <f t="shared" si="510"/>
        <v>1218.57560195</v>
      </c>
      <c r="Q113" s="207">
        <f t="shared" si="510"/>
        <v>1250.0041712376108</v>
      </c>
      <c r="R113" s="230"/>
      <c r="S113" s="207">
        <f t="shared" ref="S113:V113" si="511">+S109-S106</f>
        <v>1428.3755389403423</v>
      </c>
      <c r="T113" s="207">
        <f t="shared" si="511"/>
        <v>1103.16203727011</v>
      </c>
      <c r="U113" s="207">
        <f t="shared" si="511"/>
        <v>1251.1725820891772</v>
      </c>
      <c r="V113" s="207">
        <f t="shared" si="511"/>
        <v>1326.8119303664616</v>
      </c>
      <c r="W113" s="230"/>
      <c r="X113" s="207">
        <f t="shared" ref="X113:AA113" si="512">+X109-X106</f>
        <v>1493.1336948247936</v>
      </c>
      <c r="Y113" s="207">
        <f t="shared" si="512"/>
        <v>1160.5053085192071</v>
      </c>
      <c r="Z113" s="207">
        <f t="shared" si="512"/>
        <v>1333.6023431925582</v>
      </c>
      <c r="AA113" s="207">
        <f t="shared" si="512"/>
        <v>1411.6715372135188</v>
      </c>
      <c r="AB113" s="230"/>
      <c r="AC113" s="207">
        <f t="shared" ref="AC113:AF113" si="513">+AC109-AC106</f>
        <v>1608.8009066474833</v>
      </c>
      <c r="AD113" s="207">
        <f t="shared" si="513"/>
        <v>1246.7229978412483</v>
      </c>
      <c r="AE113" s="207">
        <f t="shared" si="513"/>
        <v>1434.5836942729775</v>
      </c>
      <c r="AF113" s="207">
        <f t="shared" si="513"/>
        <v>1518.9064794932265</v>
      </c>
      <c r="AG113" s="230"/>
      <c r="AH113" s="207">
        <f t="shared" ref="AH113:AK113" si="514">+AH109-AH106</f>
        <v>1736.7014128370815</v>
      </c>
      <c r="AI113" s="207">
        <f t="shared" si="514"/>
        <v>1344.8480603246583</v>
      </c>
      <c r="AJ113" s="207">
        <f t="shared" si="514"/>
        <v>1553.1025938359248</v>
      </c>
      <c r="AK113" s="207">
        <f t="shared" si="514"/>
        <v>1648.0943947465814</v>
      </c>
      <c r="AL113" s="230"/>
    </row>
    <row r="114" spans="1:38" s="228" customFormat="1" outlineLevel="1" x14ac:dyDescent="0.25">
      <c r="A114" s="309"/>
      <c r="B114" s="231" t="s">
        <v>191</v>
      </c>
      <c r="C114" s="229"/>
      <c r="D114" s="232">
        <f t="shared" ref="D114:K114" si="515">+D113/D102</f>
        <v>0.78018617021276604</v>
      </c>
      <c r="E114" s="232">
        <f t="shared" si="515"/>
        <v>0.79724074800575384</v>
      </c>
      <c r="F114" s="323">
        <f t="shared" si="515"/>
        <v>0.7661641329716774</v>
      </c>
      <c r="G114" s="323">
        <f t="shared" si="515"/>
        <v>0.7694803129571911</v>
      </c>
      <c r="H114" s="382"/>
      <c r="I114" s="323">
        <f t="shared" si="515"/>
        <v>0.76347781808923687</v>
      </c>
      <c r="J114" s="323">
        <f t="shared" si="515"/>
        <v>0.92085316411069984</v>
      </c>
      <c r="K114" s="323">
        <f t="shared" si="515"/>
        <v>0.97356781802864334</v>
      </c>
      <c r="L114" s="233">
        <v>0.88</v>
      </c>
      <c r="M114" s="230"/>
      <c r="N114" s="233">
        <v>0.8</v>
      </c>
      <c r="O114" s="233">
        <v>0.78</v>
      </c>
      <c r="P114" s="233">
        <v>0.8</v>
      </c>
      <c r="Q114" s="233">
        <v>0.76900000000000002</v>
      </c>
      <c r="R114" s="230"/>
      <c r="S114" s="233">
        <v>0.78</v>
      </c>
      <c r="T114" s="233">
        <v>0.79</v>
      </c>
      <c r="U114" s="233">
        <v>0.77</v>
      </c>
      <c r="V114" s="233">
        <v>0.76</v>
      </c>
      <c r="W114" s="230"/>
      <c r="X114" s="233">
        <v>0.76</v>
      </c>
      <c r="Y114" s="233">
        <v>0.78</v>
      </c>
      <c r="Z114" s="233">
        <v>0.77</v>
      </c>
      <c r="AA114" s="233">
        <f>+V114</f>
        <v>0.76</v>
      </c>
      <c r="AB114" s="230"/>
      <c r="AC114" s="233">
        <f>+X114</f>
        <v>0.76</v>
      </c>
      <c r="AD114" s="233">
        <f>+Y114</f>
        <v>0.78</v>
      </c>
      <c r="AE114" s="233">
        <f>+Z114</f>
        <v>0.77</v>
      </c>
      <c r="AF114" s="233">
        <f>+AA114</f>
        <v>0.76</v>
      </c>
      <c r="AG114" s="230"/>
      <c r="AH114" s="233">
        <f>+AC114</f>
        <v>0.76</v>
      </c>
      <c r="AI114" s="233">
        <f>+AD114</f>
        <v>0.78</v>
      </c>
      <c r="AJ114" s="233">
        <f>+AE114</f>
        <v>0.77</v>
      </c>
      <c r="AK114" s="233">
        <f>+AF114</f>
        <v>0.76</v>
      </c>
      <c r="AL114" s="230"/>
    </row>
    <row r="115" spans="1:38" ht="18" x14ac:dyDescent="0.4">
      <c r="A115" s="293"/>
      <c r="B115" s="512" t="s">
        <v>192</v>
      </c>
      <c r="C115" s="513"/>
      <c r="D115" s="35" t="s">
        <v>123</v>
      </c>
      <c r="E115" s="35" t="s">
        <v>281</v>
      </c>
      <c r="F115" s="35" t="s">
        <v>285</v>
      </c>
      <c r="G115" s="35" t="s">
        <v>295</v>
      </c>
      <c r="H115" s="102" t="s">
        <v>296</v>
      </c>
      <c r="I115" s="35" t="s">
        <v>297</v>
      </c>
      <c r="J115" s="35" t="s">
        <v>298</v>
      </c>
      <c r="K115" s="35" t="s">
        <v>299</v>
      </c>
      <c r="L115" s="33" t="s">
        <v>141</v>
      </c>
      <c r="M115" s="105" t="s">
        <v>142</v>
      </c>
      <c r="N115" s="33" t="s">
        <v>143</v>
      </c>
      <c r="O115" s="33" t="s">
        <v>144</v>
      </c>
      <c r="P115" s="33" t="s">
        <v>145</v>
      </c>
      <c r="Q115" s="33" t="s">
        <v>146</v>
      </c>
      <c r="R115" s="105" t="s">
        <v>147</v>
      </c>
      <c r="S115" s="33" t="s">
        <v>148</v>
      </c>
      <c r="T115" s="33" t="s">
        <v>149</v>
      </c>
      <c r="U115" s="33" t="s">
        <v>150</v>
      </c>
      <c r="V115" s="33" t="s">
        <v>151</v>
      </c>
      <c r="W115" s="105" t="s">
        <v>152</v>
      </c>
      <c r="X115" s="33" t="s">
        <v>153</v>
      </c>
      <c r="Y115" s="33" t="s">
        <v>154</v>
      </c>
      <c r="Z115" s="33" t="s">
        <v>155</v>
      </c>
      <c r="AA115" s="33" t="s">
        <v>156</v>
      </c>
      <c r="AB115" s="105" t="s">
        <v>157</v>
      </c>
      <c r="AC115" s="33" t="s">
        <v>290</v>
      </c>
      <c r="AD115" s="33" t="s">
        <v>291</v>
      </c>
      <c r="AE115" s="33" t="s">
        <v>292</v>
      </c>
      <c r="AF115" s="33" t="s">
        <v>293</v>
      </c>
      <c r="AG115" s="105" t="s">
        <v>294</v>
      </c>
      <c r="AH115" s="33" t="s">
        <v>323</v>
      </c>
      <c r="AI115" s="33" t="s">
        <v>324</v>
      </c>
      <c r="AJ115" s="33" t="s">
        <v>325</v>
      </c>
      <c r="AK115" s="33" t="s">
        <v>326</v>
      </c>
      <c r="AL115" s="105" t="s">
        <v>327</v>
      </c>
    </row>
    <row r="116" spans="1:38" s="20" customFormat="1" outlineLevel="1" x14ac:dyDescent="0.25">
      <c r="A116" s="308"/>
      <c r="B116" s="502" t="s">
        <v>342</v>
      </c>
      <c r="C116" s="503"/>
      <c r="D116" s="189">
        <v>504.6</v>
      </c>
      <c r="E116" s="189">
        <v>446.6</v>
      </c>
      <c r="F116" s="298">
        <v>533.29999999999995</v>
      </c>
      <c r="G116" s="189">
        <v>508.1</v>
      </c>
      <c r="H116" s="66">
        <f>SUM(D116:G116)</f>
        <v>1992.6</v>
      </c>
      <c r="I116" s="189">
        <v>494.6</v>
      </c>
      <c r="J116" s="189">
        <v>519.1</v>
      </c>
      <c r="K116" s="189">
        <v>447.3</v>
      </c>
      <c r="L116" s="189">
        <f t="shared" ref="L116" si="516">+G116*(1+L117)</f>
        <v>428.32830000000001</v>
      </c>
      <c r="M116" s="66">
        <f>SUM(I116:L116)</f>
        <v>1889.3283000000001</v>
      </c>
      <c r="N116" s="189">
        <f>+I116*(1+N117)</f>
        <v>529.22200000000009</v>
      </c>
      <c r="O116" s="189">
        <f>+J116*(1+O117)</f>
        <v>555.43700000000001</v>
      </c>
      <c r="P116" s="189">
        <f>+K116*(1+P117)</f>
        <v>496.50300000000004</v>
      </c>
      <c r="Q116" s="189">
        <f t="shared" ref="Q116" si="517">+L116*(1+Q117)</f>
        <v>479.72769600000004</v>
      </c>
      <c r="R116" s="66">
        <f>SUM(N116:Q116)</f>
        <v>2060.8896960000002</v>
      </c>
      <c r="S116" s="189">
        <f>+N116*(1+S117)</f>
        <v>566.26754000000017</v>
      </c>
      <c r="T116" s="189">
        <f>+O116*(1+T117)</f>
        <v>594.31759</v>
      </c>
      <c r="U116" s="189">
        <f>+P116*(1+U117)</f>
        <v>531.25821000000008</v>
      </c>
      <c r="V116" s="189">
        <f t="shared" ref="V116" si="518">+Q116*(1+V117)</f>
        <v>513.3086347200001</v>
      </c>
      <c r="W116" s="66">
        <f>SUM(S116:V116)</f>
        <v>2205.1519747200005</v>
      </c>
      <c r="X116" s="189">
        <f>+S116*(1+X117)</f>
        <v>605.90626780000025</v>
      </c>
      <c r="Y116" s="189">
        <f>+T116*(1+Y117)</f>
        <v>635.91982130000008</v>
      </c>
      <c r="Z116" s="189">
        <f>+U116*(1+Z117)</f>
        <v>568.44628470000009</v>
      </c>
      <c r="AA116" s="189">
        <f t="shared" ref="AA116" si="519">+V116*(1+AA117)</f>
        <v>549.24023915040016</v>
      </c>
      <c r="AB116" s="66">
        <f>SUM(X116:AA116)</f>
        <v>2359.5126129504006</v>
      </c>
      <c r="AC116" s="189">
        <f>+X116*(1+AC117)</f>
        <v>648.31970654600036</v>
      </c>
      <c r="AD116" s="189">
        <f>+Y116*(1+AD117)</f>
        <v>680.43420879100017</v>
      </c>
      <c r="AE116" s="189">
        <f>+Z116*(1+AE117)</f>
        <v>608.23752462900018</v>
      </c>
      <c r="AF116" s="189">
        <f t="shared" ref="AF116" si="520">+AA116*(1+AF117)</f>
        <v>587.68705589092815</v>
      </c>
      <c r="AG116" s="66">
        <f>SUM(AC116:AF116)</f>
        <v>2524.6784958569287</v>
      </c>
      <c r="AH116" s="189">
        <f>+AC116*(1+AH117)</f>
        <v>693.7020860042204</v>
      </c>
      <c r="AI116" s="189">
        <f>+AD116*(1+AI117)</f>
        <v>728.06460340637022</v>
      </c>
      <c r="AJ116" s="189">
        <f>+AE116*(1+AJ117)</f>
        <v>650.81415135303018</v>
      </c>
      <c r="AK116" s="189">
        <f t="shared" ref="AK116" si="521">+AF116*(1+AK117)</f>
        <v>628.82514980329313</v>
      </c>
      <c r="AL116" s="66">
        <f>SUM(AH116:AK116)</f>
        <v>2701.4059905669137</v>
      </c>
    </row>
    <row r="117" spans="1:38" outlineLevel="1" x14ac:dyDescent="0.25">
      <c r="A117" s="293"/>
      <c r="B117" s="218" t="s">
        <v>199</v>
      </c>
      <c r="C117" s="219"/>
      <c r="D117" s="331"/>
      <c r="E117" s="331"/>
      <c r="F117" s="331"/>
      <c r="G117" s="331"/>
      <c r="H117" s="197"/>
      <c r="I117" s="331">
        <f>I116/D116-1</f>
        <v>-1.9817677368212494E-2</v>
      </c>
      <c r="J117" s="331">
        <f t="shared" ref="J117" si="522">J116/E116-1</f>
        <v>0.16233766233766223</v>
      </c>
      <c r="K117" s="331">
        <f>K116/F116-1</f>
        <v>-0.1612600787549221</v>
      </c>
      <c r="L117" s="479">
        <v>-0.157</v>
      </c>
      <c r="M117" s="416">
        <f>M116/H116-1</f>
        <v>-5.1827612165010417E-2</v>
      </c>
      <c r="N117" s="479">
        <v>7.0000000000000007E-2</v>
      </c>
      <c r="O117" s="479">
        <v>7.0000000000000007E-2</v>
      </c>
      <c r="P117" s="479">
        <v>0.11</v>
      </c>
      <c r="Q117" s="479">
        <v>0.12</v>
      </c>
      <c r="R117" s="197"/>
      <c r="S117" s="220">
        <v>7.0000000000000007E-2</v>
      </c>
      <c r="T117" s="220">
        <v>7.0000000000000007E-2</v>
      </c>
      <c r="U117" s="220">
        <v>7.0000000000000007E-2</v>
      </c>
      <c r="V117" s="220">
        <v>7.0000000000000007E-2</v>
      </c>
      <c r="W117" s="197"/>
      <c r="X117" s="220">
        <f>AVERAGE(V117,U117,T117,S117)</f>
        <v>7.0000000000000007E-2</v>
      </c>
      <c r="Y117" s="220">
        <f>AVERAGE(X117,V117,U117,T117)</f>
        <v>7.0000000000000007E-2</v>
      </c>
      <c r="Z117" s="220">
        <f>AVERAGE(Y117,X117,V117,U117)</f>
        <v>7.0000000000000007E-2</v>
      </c>
      <c r="AA117" s="220">
        <f>AVERAGE(Z117,Y117,X117,V117)</f>
        <v>7.0000000000000007E-2</v>
      </c>
      <c r="AB117" s="197"/>
      <c r="AC117" s="220">
        <f>AVERAGE(AA117,Z117,Y117,X117)</f>
        <v>7.0000000000000007E-2</v>
      </c>
      <c r="AD117" s="220">
        <f>AVERAGE(AC117,AA117,Z117,Y117)</f>
        <v>7.0000000000000007E-2</v>
      </c>
      <c r="AE117" s="220">
        <f>AVERAGE(AD117,AC117,AA117,Z117)</f>
        <v>7.0000000000000007E-2</v>
      </c>
      <c r="AF117" s="220">
        <f>AVERAGE(AE117,AD117,AC117,AA117)</f>
        <v>7.0000000000000007E-2</v>
      </c>
      <c r="AG117" s="197"/>
      <c r="AH117" s="220">
        <f>AVERAGE(AF117,AE117,AD117,AC117)</f>
        <v>7.0000000000000007E-2</v>
      </c>
      <c r="AI117" s="220">
        <f>AVERAGE(AH117,AF117,AE117,AD117)</f>
        <v>7.0000000000000007E-2</v>
      </c>
      <c r="AJ117" s="220">
        <f>AVERAGE(AI117,AH117,AF117,AE117)</f>
        <v>7.0000000000000007E-2</v>
      </c>
      <c r="AK117" s="220">
        <f>AVERAGE(AJ117,AI117,AH117,AF117)</f>
        <v>7.0000000000000007E-2</v>
      </c>
      <c r="AL117" s="197"/>
    </row>
    <row r="118" spans="1:38" outlineLevel="1" x14ac:dyDescent="0.25">
      <c r="A118" s="293"/>
      <c r="B118" s="553" t="s">
        <v>300</v>
      </c>
      <c r="C118" s="554"/>
      <c r="D118" s="187">
        <v>348.4</v>
      </c>
      <c r="E118" s="187">
        <v>305.39999999999998</v>
      </c>
      <c r="F118" s="187">
        <v>377.1</v>
      </c>
      <c r="G118" s="187">
        <v>359.1</v>
      </c>
      <c r="H118" s="234"/>
      <c r="I118" s="187">
        <v>338.8</v>
      </c>
      <c r="J118" s="187">
        <v>351.6</v>
      </c>
      <c r="K118" s="187">
        <v>319.89999999999998</v>
      </c>
      <c r="L118" s="187">
        <f>+(L116*L128)*(K118/K127)</f>
        <v>267.59289169101129</v>
      </c>
      <c r="M118" s="234"/>
      <c r="N118" s="187">
        <f>+(N116*N128)*(L118/L127)</f>
        <v>317.03767378277155</v>
      </c>
      <c r="O118" s="187">
        <f>+(O116*O128)*(N118/N127)</f>
        <v>332.74212790262175</v>
      </c>
      <c r="P118" s="187">
        <f>+(P116*P128)*(O118/O127)</f>
        <v>297.43690955056184</v>
      </c>
      <c r="Q118" s="187">
        <f>+(Q116*Q128)*(P118/P127)</f>
        <v>287.38743436404496</v>
      </c>
      <c r="R118" s="234"/>
      <c r="S118" s="187">
        <f>+(S116*S128)*(Q118/Q127)</f>
        <v>339.23031094756567</v>
      </c>
      <c r="T118" s="187">
        <f>+(T116*T128)*(S118/S127)</f>
        <v>356.03407685580527</v>
      </c>
      <c r="U118" s="187">
        <f>+(U116*U128)*(T118/T127)</f>
        <v>318.25749321910121</v>
      </c>
      <c r="V118" s="187">
        <f>+(V116*V128)*(U118/U127)</f>
        <v>307.50455476952811</v>
      </c>
      <c r="W118" s="234"/>
      <c r="X118" s="187">
        <f>+(X116*X128)*(V118/V127)</f>
        <v>362.97643271389518</v>
      </c>
      <c r="Y118" s="187">
        <f>+(Y116*Y128)*(X118/X127)</f>
        <v>380.95646223571168</v>
      </c>
      <c r="Z118" s="187">
        <f>+(Z116*Z128)*(Y118/Y127)</f>
        <v>340.53551774443827</v>
      </c>
      <c r="AA118" s="187">
        <f>+(AA116*AA128)*(Z118/Z127)</f>
        <v>329.02987360339517</v>
      </c>
      <c r="AB118" s="234"/>
      <c r="AC118" s="187">
        <f>+(AC116*AC128)*(AA118/AA127)</f>
        <v>388.38478300386799</v>
      </c>
      <c r="AD118" s="187">
        <f>+(AD116*AD128)*(AC118/AC127)</f>
        <v>407.62341459221159</v>
      </c>
      <c r="AE118" s="187">
        <f>+(AE116*AE128)*(AD118/AD127)</f>
        <v>364.37300398654907</v>
      </c>
      <c r="AF118" s="187">
        <f>+(AF116*AF128)*(AE118/AE127)</f>
        <v>352.0619647556328</v>
      </c>
      <c r="AG118" s="234"/>
      <c r="AH118" s="187">
        <f>+(AH116*AH128)*(AF118/AF127)</f>
        <v>415.57171781413876</v>
      </c>
      <c r="AI118" s="187">
        <f>+(AI116*AI128)*(AH118/AH127)</f>
        <v>436.15705361366639</v>
      </c>
      <c r="AJ118" s="187">
        <f>+(AJ116*AJ128)*(AI118/AI127)</f>
        <v>389.87911426560743</v>
      </c>
      <c r="AK118" s="187">
        <f>+(AK116*AK128)*(AJ118/AJ127)</f>
        <v>376.70630228852713</v>
      </c>
      <c r="AL118" s="234"/>
    </row>
    <row r="119" spans="1:38" outlineLevel="1" x14ac:dyDescent="0.25">
      <c r="A119" s="293"/>
      <c r="B119" s="50" t="s">
        <v>159</v>
      </c>
      <c r="C119" s="39"/>
      <c r="D119" s="187">
        <v>18.600000000000001</v>
      </c>
      <c r="E119" s="187">
        <v>17.100000000000001</v>
      </c>
      <c r="F119" s="187">
        <v>20.2</v>
      </c>
      <c r="G119" s="187">
        <v>20.3</v>
      </c>
      <c r="H119" s="188"/>
      <c r="I119" s="187">
        <v>20.6</v>
      </c>
      <c r="J119" s="187">
        <v>17.7</v>
      </c>
      <c r="K119" s="187">
        <v>51.4</v>
      </c>
      <c r="L119" s="187">
        <f>+(L116*L128)*(K119/K127)</f>
        <v>42.995544335473525</v>
      </c>
      <c r="M119" s="188"/>
      <c r="N119" s="187">
        <f>+(N116*N128)*(L119/L127)</f>
        <v>50.940095131086146</v>
      </c>
      <c r="O119" s="187">
        <f>+(O116*O128)*(N119/N127)</f>
        <v>53.463411610486901</v>
      </c>
      <c r="P119" s="187">
        <f>+(P116*P128)*(O119/O127)</f>
        <v>47.790738202247198</v>
      </c>
      <c r="Q119" s="187">
        <f>+(Q116*Q128)*(P119/P127)</f>
        <v>46.176036656179775</v>
      </c>
      <c r="R119" s="188"/>
      <c r="S119" s="187">
        <f>+(S116*S128)*(Q119/Q127)</f>
        <v>54.505901790262186</v>
      </c>
      <c r="T119" s="187">
        <f>+(T116*T128)*(S119/S127)</f>
        <v>57.205850423220973</v>
      </c>
      <c r="U119" s="187">
        <f>+(U116*U128)*(T119/T127)</f>
        <v>51.136089876404498</v>
      </c>
      <c r="V119" s="187">
        <f>+(V116*V128)*(U119/U127)</f>
        <v>49.408359222112352</v>
      </c>
      <c r="W119" s="188"/>
      <c r="X119" s="187">
        <f>+(X116*X128)*(V119/V127)</f>
        <v>58.32131491558053</v>
      </c>
      <c r="Y119" s="187">
        <f>+(Y116*Y128)*(X119/X127)</f>
        <v>61.210259952846442</v>
      </c>
      <c r="Z119" s="187">
        <f>+(Z116*Z128)*(Y119/Y127)</f>
        <v>54.715616167752806</v>
      </c>
      <c r="AA119" s="187">
        <f>+(AA116*AA128)*(Z119/Z127)</f>
        <v>52.866944367660224</v>
      </c>
      <c r="AB119" s="188"/>
      <c r="AC119" s="187">
        <f>+(AC116*AC128)*(AA119/AA127)</f>
        <v>62.403806959671172</v>
      </c>
      <c r="AD119" s="187">
        <f>+(AD116*AD128)*(AC119/AC127)</f>
        <v>65.494978149545688</v>
      </c>
      <c r="AE119" s="187">
        <f>+(AE116*AE128)*(AD119/AD127)</f>
        <v>58.545709299495506</v>
      </c>
      <c r="AF119" s="187">
        <f>+(AF116*AF128)*(AE119/AE127)</f>
        <v>56.567630473396427</v>
      </c>
      <c r="AG119" s="188"/>
      <c r="AH119" s="187">
        <f>+(AH116*AH128)*(AF119/AF127)</f>
        <v>66.77207344684814</v>
      </c>
      <c r="AI119" s="187">
        <f>+(AI116*AI128)*(AH119/AH127)</f>
        <v>70.079626620013883</v>
      </c>
      <c r="AJ119" s="187">
        <f>+(AJ116*AJ128)*(AI119/AI127)</f>
        <v>62.643908950460172</v>
      </c>
      <c r="AK119" s="187">
        <f>+(AK116*AK128)*(AJ119/AJ127)</f>
        <v>60.527364606534164</v>
      </c>
      <c r="AL119" s="188"/>
    </row>
    <row r="120" spans="1:38" outlineLevel="1" x14ac:dyDescent="0.25">
      <c r="A120" s="293"/>
      <c r="B120" s="50" t="s">
        <v>160</v>
      </c>
      <c r="C120" s="39"/>
      <c r="D120" s="224">
        <v>0</v>
      </c>
      <c r="E120" s="224">
        <v>12.3</v>
      </c>
      <c r="F120" s="224">
        <v>0.2</v>
      </c>
      <c r="G120" s="224">
        <v>0.3</v>
      </c>
      <c r="H120" s="18"/>
      <c r="I120" s="224">
        <v>0.3</v>
      </c>
      <c r="J120" s="224">
        <v>0.3</v>
      </c>
      <c r="K120" s="224">
        <v>0.3</v>
      </c>
      <c r="L120" s="224">
        <f>(K120/(K73+K106+K120+K134))*L243</f>
        <v>0.30622872359279457</v>
      </c>
      <c r="M120" s="18"/>
      <c r="N120" s="224">
        <f>(L120/(L73+L106+L120+L134))*N243</f>
        <v>0.30667184035254325</v>
      </c>
      <c r="O120" s="224">
        <f>(N120/(N73+N106+N120+N134))*O243</f>
        <v>0.31101818463709369</v>
      </c>
      <c r="P120" s="224">
        <f>(O120/(O73+O106+O120+O134))*P243</f>
        <v>0.31339912183112206</v>
      </c>
      <c r="Q120" s="224">
        <f>(P120/(P73+P106+P120+P134))*Q243</f>
        <v>0.3158666378684919</v>
      </c>
      <c r="R120" s="18"/>
      <c r="S120" s="224">
        <f>(Q120/(Q73+Q106+Q120+Q134))*S243</f>
        <v>0.31953451100097069</v>
      </c>
      <c r="T120" s="224">
        <f>(S120/(S73+S106+S120+S134))*T243</f>
        <v>0.32399251825336045</v>
      </c>
      <c r="U120" s="224">
        <f>(T120/(T73+T106+T120+T134))*U243</f>
        <v>0.32587492737540641</v>
      </c>
      <c r="V120" s="224">
        <f>(U120/(U73+U106+U120+U134))*V243</f>
        <v>0.3281693404185177</v>
      </c>
      <c r="W120" s="18"/>
      <c r="X120" s="224">
        <f>(V120/(V73+V106+V120+V134))*X243</f>
        <v>0.33137107500810964</v>
      </c>
      <c r="Y120" s="224">
        <f>(X120/(X73+X106+X120+X134))*Y243</f>
        <v>0.33235163161640474</v>
      </c>
      <c r="Z120" s="224">
        <f>(Y120/(Y73+Y106+Y120+Y134))*Z243</f>
        <v>0.33144582792570626</v>
      </c>
      <c r="AA120" s="224">
        <f>(Z120/(Z73+Z106+Z120+Z134))*AA243</f>
        <v>0.3310767831635783</v>
      </c>
      <c r="AB120" s="18"/>
      <c r="AC120" s="224">
        <f>(AA120/(AA73+AA106+AA120+AA134))*AC243</f>
        <v>0.33154521452347263</v>
      </c>
      <c r="AD120" s="224">
        <f>(AC120/(AC73+AC106+AC120+AC134))*AD243</f>
        <v>0.33384365918008274</v>
      </c>
      <c r="AE120" s="224">
        <f>(AD120/(AD73+AD106+AD120+AD134))*AE243</f>
        <v>0.33409620411597052</v>
      </c>
      <c r="AF120" s="224">
        <f>(AE120/(AE73+AE106+AE120+AE134))*AF243</f>
        <v>0.33485716233370455</v>
      </c>
      <c r="AG120" s="18"/>
      <c r="AH120" s="224">
        <f>(AF120/(AF73+AF106+AF120+AF134))*AH243</f>
        <v>0.33643310447147107</v>
      </c>
      <c r="AI120" s="224">
        <f>(AH120/(AH73+AH106+AH120+AH134))*AI243</f>
        <v>0.33994527119870049</v>
      </c>
      <c r="AJ120" s="224">
        <f>(AI120/(AI73+AI106+AI120+AI134))*AJ243</f>
        <v>0.3412003827398214</v>
      </c>
      <c r="AK120" s="224">
        <f>(AJ120/(AJ73+AJ106+AJ120+AJ134))*AK243</f>
        <v>0.34296302539202095</v>
      </c>
      <c r="AL120" s="18"/>
    </row>
    <row r="121" spans="1:38" outlineLevel="1" x14ac:dyDescent="0.25">
      <c r="A121" s="293"/>
      <c r="B121" s="50" t="s">
        <v>161</v>
      </c>
      <c r="C121" s="39"/>
      <c r="D121" s="187">
        <v>3.2</v>
      </c>
      <c r="E121" s="187">
        <v>3.1</v>
      </c>
      <c r="F121" s="187">
        <v>2.7</v>
      </c>
      <c r="G121" s="187">
        <v>2.6</v>
      </c>
      <c r="H121" s="188"/>
      <c r="I121" s="187">
        <v>2.4</v>
      </c>
      <c r="J121" s="187">
        <v>3</v>
      </c>
      <c r="K121" s="187">
        <v>2.5</v>
      </c>
      <c r="L121" s="187">
        <f>+(L116*L128)*(K121/K127)</f>
        <v>2.091222973515249</v>
      </c>
      <c r="M121" s="188"/>
      <c r="N121" s="187">
        <f>+(N116*N128)*(L121/L127)</f>
        <v>2.4776310861423223</v>
      </c>
      <c r="O121" s="187">
        <f>+(O116*O128)*(N121/N127)</f>
        <v>2.6003604868913861</v>
      </c>
      <c r="P121" s="187">
        <f>+(P116*P128)*(O121/O127)</f>
        <v>2.3244522471910116</v>
      </c>
      <c r="Q121" s="187">
        <f>+(Q116*Q128)*(P121/P127)</f>
        <v>2.2459161797752811</v>
      </c>
      <c r="R121" s="188"/>
      <c r="S121" s="187">
        <f>+(S116*S128)*(Q121/Q127)</f>
        <v>2.6510652621722857</v>
      </c>
      <c r="T121" s="187">
        <f>+(T116*T128)*(S121/S127)</f>
        <v>2.782385720973783</v>
      </c>
      <c r="U121" s="187">
        <f>+(U116*U128)*(T121/T127)</f>
        <v>2.4871639044943827</v>
      </c>
      <c r="V121" s="187">
        <f>+(V116*V128)*(U121/U127)</f>
        <v>2.4031303123595511</v>
      </c>
      <c r="W121" s="188"/>
      <c r="X121" s="187">
        <f>+(X116*X128)*(V121/V127)</f>
        <v>2.8366398305243457</v>
      </c>
      <c r="Y121" s="187">
        <f>+(Y116*Y128)*(X121/X127)</f>
        <v>2.9771527214419486</v>
      </c>
      <c r="Z121" s="187">
        <f>+(Z116*Z128)*(Y121/Y127)</f>
        <v>2.6612653778089896</v>
      </c>
      <c r="AA121" s="187">
        <f>+(AA116*AA128)*(Z121/Z127)</f>
        <v>2.5713494342247203</v>
      </c>
      <c r="AB121" s="188"/>
      <c r="AC121" s="187">
        <f>+(AC116*AC128)*(AA121/AA127)</f>
        <v>3.0352046186610511</v>
      </c>
      <c r="AD121" s="187">
        <f>+(AD116*AD128)*(AC121/AC127)</f>
        <v>3.1855534119428857</v>
      </c>
      <c r="AE121" s="187">
        <f>+(AE116*AE128)*(AD121/AD127)</f>
        <v>2.8475539542556199</v>
      </c>
      <c r="AF121" s="187">
        <f>+(AF116*AF128)*(AE121/AE127)</f>
        <v>2.7513438946204505</v>
      </c>
      <c r="AG121" s="188"/>
      <c r="AH121" s="187">
        <f>+(AH116*AH128)*(AF121/AF127)</f>
        <v>3.2476689419673241</v>
      </c>
      <c r="AI121" s="187">
        <f>+(AI116*AI128)*(AH121/AH127)</f>
        <v>3.4085421507788873</v>
      </c>
      <c r="AJ121" s="187">
        <f>+(AJ116*AJ128)*(AI121/AI127)</f>
        <v>3.046882731053512</v>
      </c>
      <c r="AK121" s="187">
        <f>+(AK116*AK128)*(AJ121/AJ127)</f>
        <v>2.9439379672438815</v>
      </c>
      <c r="AL121" s="188"/>
    </row>
    <row r="122" spans="1:38" ht="17.25" outlineLevel="1" x14ac:dyDescent="0.4">
      <c r="A122" s="293"/>
      <c r="B122" s="50" t="s">
        <v>169</v>
      </c>
      <c r="C122" s="39"/>
      <c r="D122" s="225">
        <v>0</v>
      </c>
      <c r="E122" s="225">
        <v>0</v>
      </c>
      <c r="F122" s="225">
        <v>0</v>
      </c>
      <c r="G122" s="225">
        <v>0</v>
      </c>
      <c r="H122" s="235"/>
      <c r="I122" s="225">
        <v>0</v>
      </c>
      <c r="J122" s="225">
        <v>0</v>
      </c>
      <c r="K122" s="225">
        <v>0</v>
      </c>
      <c r="L122" s="225">
        <f>+(L116*L128)*(K122/K127)</f>
        <v>0</v>
      </c>
      <c r="M122" s="235"/>
      <c r="N122" s="225">
        <f>+(N116*N128)*(L122/L127)</f>
        <v>0</v>
      </c>
      <c r="O122" s="225">
        <f>+(O116*O128)*(N122/N127)</f>
        <v>0</v>
      </c>
      <c r="P122" s="225">
        <f>+(P116*P128)*(O122/O127)</f>
        <v>0</v>
      </c>
      <c r="Q122" s="225">
        <f>+(Q116*Q128)*(P122/P127)</f>
        <v>0</v>
      </c>
      <c r="R122" s="235"/>
      <c r="S122" s="225">
        <f>+(S116*S128)*(Q122/Q127)</f>
        <v>0</v>
      </c>
      <c r="T122" s="225">
        <f>+(T116*T128)*(S122/S127)</f>
        <v>0</v>
      </c>
      <c r="U122" s="225">
        <f>+(U116*U128)*(T122/T127)</f>
        <v>0</v>
      </c>
      <c r="V122" s="225">
        <f>+(V116*V128)*(U122/U127)</f>
        <v>0</v>
      </c>
      <c r="W122" s="235"/>
      <c r="X122" s="225">
        <f>+(X116*X128)*(V122/V127)</f>
        <v>0</v>
      </c>
      <c r="Y122" s="225">
        <f>+(Y116*Y128)*(X122/X127)</f>
        <v>0</v>
      </c>
      <c r="Z122" s="225">
        <f>+(Z116*Z128)*(Y122/Y127)</f>
        <v>0</v>
      </c>
      <c r="AA122" s="225">
        <f>+(AA116*AA128)*(Z122/Z127)</f>
        <v>0</v>
      </c>
      <c r="AB122" s="235"/>
      <c r="AC122" s="225">
        <f>+(AC116*AC128)*(AA122/AA127)</f>
        <v>0</v>
      </c>
      <c r="AD122" s="225">
        <f>+(AD116*AD128)*(AC122/AC127)</f>
        <v>0</v>
      </c>
      <c r="AE122" s="225">
        <f>+(AE116*AE128)*(AD122/AD127)</f>
        <v>0</v>
      </c>
      <c r="AF122" s="225">
        <f>+(AF116*AF128)*(AE122/AE127)</f>
        <v>0</v>
      </c>
      <c r="AG122" s="235"/>
      <c r="AH122" s="225">
        <f>+(AH116*AH128)*(AF122/AF127)</f>
        <v>0</v>
      </c>
      <c r="AI122" s="225">
        <f>+(AI116*AI128)*(AH122/AH127)</f>
        <v>0</v>
      </c>
      <c r="AJ122" s="225">
        <f>+(AJ116*AJ128)*(AI122/AI127)</f>
        <v>0</v>
      </c>
      <c r="AK122" s="225">
        <f>+(AK116*AK128)*(AJ122/AJ127)</f>
        <v>0</v>
      </c>
      <c r="AL122" s="235"/>
    </row>
    <row r="123" spans="1:38" outlineLevel="1" x14ac:dyDescent="0.25">
      <c r="A123" s="293"/>
      <c r="B123" s="185" t="s">
        <v>193</v>
      </c>
      <c r="C123" s="42"/>
      <c r="D123" s="189">
        <f>SUM(D118:D122)</f>
        <v>370.2</v>
      </c>
      <c r="E123" s="189">
        <f>SUM(E118:E122)</f>
        <v>337.90000000000003</v>
      </c>
      <c r="F123" s="189">
        <f>SUM(F118:F122)</f>
        <v>400.2</v>
      </c>
      <c r="G123" s="189">
        <f>SUM(G118:G122)</f>
        <v>382.30000000000007</v>
      </c>
      <c r="H123" s="18"/>
      <c r="I123" s="189">
        <f>SUM(I118:I122)</f>
        <v>362.1</v>
      </c>
      <c r="J123" s="189">
        <f>SUM(J118:J122)</f>
        <v>372.6</v>
      </c>
      <c r="K123" s="189">
        <f>SUM(K118:K122)</f>
        <v>374.09999999999997</v>
      </c>
      <c r="L123" s="189">
        <f>SUM(L118:L122)</f>
        <v>312.98588772359284</v>
      </c>
      <c r="M123" s="18"/>
      <c r="N123" s="189">
        <f>SUM(N118:N122)</f>
        <v>370.76207184035252</v>
      </c>
      <c r="O123" s="189">
        <f>SUM(O118:O122)</f>
        <v>389.11691818463709</v>
      </c>
      <c r="P123" s="189">
        <f>SUM(P118:P122)</f>
        <v>347.86549912183119</v>
      </c>
      <c r="Q123" s="189">
        <f>SUM(Q118:Q122)</f>
        <v>336.12525383786851</v>
      </c>
      <c r="R123" s="18"/>
      <c r="S123" s="189">
        <f>SUM(S118:S122)</f>
        <v>396.70681251100109</v>
      </c>
      <c r="T123" s="189">
        <f>SUM(T118:T122)</f>
        <v>416.34630551825336</v>
      </c>
      <c r="U123" s="189">
        <f>SUM(U118:U122)</f>
        <v>372.20662192737552</v>
      </c>
      <c r="V123" s="189">
        <f>SUM(V118:V122)</f>
        <v>359.64421364441858</v>
      </c>
      <c r="W123" s="18"/>
      <c r="X123" s="189">
        <f>SUM(X118:X122)</f>
        <v>424.46575853500815</v>
      </c>
      <c r="Y123" s="189">
        <f>SUM(Y118:Y122)</f>
        <v>445.47622654161648</v>
      </c>
      <c r="Z123" s="189">
        <f>SUM(Z118:Z122)</f>
        <v>398.24384511792579</v>
      </c>
      <c r="AA123" s="189">
        <f>SUM(AA118:AA122)</f>
        <v>384.79924418844365</v>
      </c>
      <c r="AB123" s="18"/>
      <c r="AC123" s="189">
        <f>SUM(AC118:AC122)</f>
        <v>454.15533979672369</v>
      </c>
      <c r="AD123" s="189">
        <f>SUM(AD118:AD122)</f>
        <v>476.63778981288021</v>
      </c>
      <c r="AE123" s="189">
        <f>SUM(AE118:AE122)</f>
        <v>426.10036344441613</v>
      </c>
      <c r="AF123" s="189">
        <f>SUM(AF118:AF122)</f>
        <v>411.7157962859834</v>
      </c>
      <c r="AG123" s="18"/>
      <c r="AH123" s="189">
        <f>SUM(AH118:AH122)</f>
        <v>485.92789330742573</v>
      </c>
      <c r="AI123" s="189">
        <f>SUM(AI118:AI122)</f>
        <v>509.98516765565785</v>
      </c>
      <c r="AJ123" s="189">
        <f>SUM(AJ118:AJ122)</f>
        <v>455.91110632986096</v>
      </c>
      <c r="AK123" s="189">
        <f>SUM(AK118:AK122)</f>
        <v>440.52056788769715</v>
      </c>
      <c r="AL123" s="18"/>
    </row>
    <row r="124" spans="1:38" ht="17.25" outlineLevel="1" x14ac:dyDescent="0.4">
      <c r="A124" s="293"/>
      <c r="B124" s="186" t="s">
        <v>162</v>
      </c>
      <c r="C124" s="161"/>
      <c r="D124" s="191">
        <v>41.4</v>
      </c>
      <c r="E124" s="299">
        <v>40.200000000000003</v>
      </c>
      <c r="F124" s="299">
        <v>48.8</v>
      </c>
      <c r="G124" s="299">
        <v>65.099999999999994</v>
      </c>
      <c r="H124" s="374"/>
      <c r="I124" s="299">
        <v>43</v>
      </c>
      <c r="J124" s="299">
        <v>43.1</v>
      </c>
      <c r="K124" s="299">
        <v>51</v>
      </c>
      <c r="L124" s="195">
        <f>AVERAGE(K124,J124,I124,G124)</f>
        <v>50.55</v>
      </c>
      <c r="M124" s="162"/>
      <c r="N124" s="195">
        <f>AVERAGE(L124,K124,J124,I124)</f>
        <v>46.912500000000001</v>
      </c>
      <c r="O124" s="195">
        <f>AVERAGE(N124,L124,K124,J124)</f>
        <v>47.890625</v>
      </c>
      <c r="P124" s="195">
        <f>AVERAGE(O124,N124,L124,K124)</f>
        <v>49.088281249999994</v>
      </c>
      <c r="Q124" s="195">
        <f>AVERAGE(P124,O124,N124,L124)</f>
        <v>48.6103515625</v>
      </c>
      <c r="R124" s="162"/>
      <c r="S124" s="195">
        <f>AVERAGE(Q124,P124,O124,N124)</f>
        <v>48.125439453124997</v>
      </c>
      <c r="T124" s="195">
        <f>AVERAGE(S124,Q124,P124,O124)</f>
        <v>48.428674316406244</v>
      </c>
      <c r="U124" s="195">
        <f>AVERAGE(T124,S124,Q124,P124)</f>
        <v>48.563186645507805</v>
      </c>
      <c r="V124" s="195">
        <f>AVERAGE(U124,T124,S124,Q124)</f>
        <v>48.43191299438476</v>
      </c>
      <c r="W124" s="162"/>
      <c r="X124" s="195">
        <f>AVERAGE(V124,U124,T124,S124)</f>
        <v>48.387303352355957</v>
      </c>
      <c r="Y124" s="195">
        <f>AVERAGE(X124,V124,U124,T124)</f>
        <v>48.452769327163693</v>
      </c>
      <c r="Z124" s="195">
        <f>AVERAGE(Y124,X124,V124,U124)</f>
        <v>48.458793079853052</v>
      </c>
      <c r="AA124" s="195">
        <f>AVERAGE(Z124,Y124,X124,V124)</f>
        <v>48.432694688439362</v>
      </c>
      <c r="AB124" s="162"/>
      <c r="AC124" s="195">
        <f>AVERAGE(AA124,Z124,Y124,X124)</f>
        <v>48.432890111953014</v>
      </c>
      <c r="AD124" s="195">
        <f>AVERAGE(AC124,AA124,Z124,Y124)</f>
        <v>48.444286801852286</v>
      </c>
      <c r="AE124" s="195">
        <f>AVERAGE(AD124,AC124,AA124,Z124)</f>
        <v>48.44216617052443</v>
      </c>
      <c r="AF124" s="195">
        <f>AVERAGE(AE124,AD124,AC124,AA124)</f>
        <v>48.438009443192271</v>
      </c>
      <c r="AG124" s="162"/>
      <c r="AH124" s="195">
        <f>AVERAGE(AF124,AE124,AD124,AC124)</f>
        <v>48.439338131880497</v>
      </c>
      <c r="AI124" s="195">
        <f>AVERAGE(AH124,AF124,AE124,AD124)</f>
        <v>48.440950136862369</v>
      </c>
      <c r="AJ124" s="195">
        <f>AVERAGE(AI124,AH124,AF124,AE124)</f>
        <v>48.440115970614897</v>
      </c>
      <c r="AK124" s="195">
        <f>AVERAGE(AJ124,AI124,AH124,AF124)</f>
        <v>48.439603420637511</v>
      </c>
      <c r="AL124" s="162"/>
    </row>
    <row r="125" spans="1:38" outlineLevel="1" x14ac:dyDescent="0.25">
      <c r="A125" s="293"/>
      <c r="B125" s="185" t="s">
        <v>194</v>
      </c>
      <c r="C125" s="161"/>
      <c r="D125" s="442">
        <f>D116-D123+D124</f>
        <v>175.80000000000004</v>
      </c>
      <c r="E125" s="442">
        <f>E116-E123+E124</f>
        <v>148.89999999999998</v>
      </c>
      <c r="F125" s="442">
        <f>F116-F123+F124</f>
        <v>181.89999999999998</v>
      </c>
      <c r="G125" s="442">
        <f>G116-G123+G124</f>
        <v>190.89999999999995</v>
      </c>
      <c r="H125" s="361">
        <f>SUM(D125:G125)</f>
        <v>697.5</v>
      </c>
      <c r="I125" s="442">
        <f>I116-I123+I124</f>
        <v>175.5</v>
      </c>
      <c r="J125" s="442">
        <f>J116-J123+J124</f>
        <v>189.6</v>
      </c>
      <c r="K125" s="442">
        <f>K116-K123+K124</f>
        <v>124.20000000000005</v>
      </c>
      <c r="L125" s="226">
        <f>L116-L123+L124</f>
        <v>165.89241227640719</v>
      </c>
      <c r="M125" s="66">
        <f>SUM(I125:L125)</f>
        <v>655.19241227640725</v>
      </c>
      <c r="N125" s="226">
        <f>N116-N123+N124</f>
        <v>205.37242815964757</v>
      </c>
      <c r="O125" s="226">
        <f>O116-O123+O124</f>
        <v>214.21070681536293</v>
      </c>
      <c r="P125" s="226">
        <f>P116-P123+P124</f>
        <v>197.72578212816885</v>
      </c>
      <c r="Q125" s="226">
        <f>Q116-Q123+Q124</f>
        <v>192.21279372463152</v>
      </c>
      <c r="R125" s="66">
        <f>SUM(N125:Q125)</f>
        <v>809.52171082781081</v>
      </c>
      <c r="S125" s="226">
        <f>S116-S123+S124</f>
        <v>217.68616694212409</v>
      </c>
      <c r="T125" s="226">
        <f>T116-T123+T124</f>
        <v>226.39995879815288</v>
      </c>
      <c r="U125" s="226">
        <f>U116-U123+U124</f>
        <v>207.61477471813237</v>
      </c>
      <c r="V125" s="226">
        <f>V116-V123+V124</f>
        <v>202.09633406996628</v>
      </c>
      <c r="W125" s="66">
        <f>SUM(S125:V125)</f>
        <v>853.79723452837561</v>
      </c>
      <c r="X125" s="226">
        <f>X116-X123+X124</f>
        <v>229.82781261734806</v>
      </c>
      <c r="Y125" s="226">
        <f>Y116-Y123+Y124</f>
        <v>238.8963640855473</v>
      </c>
      <c r="Z125" s="226">
        <f>Z116-Z123+Z124</f>
        <v>218.66123266192736</v>
      </c>
      <c r="AA125" s="226">
        <f>AA116-AA123+AA124</f>
        <v>212.87368965039587</v>
      </c>
      <c r="AB125" s="66">
        <f>SUM(X125:AA125)</f>
        <v>900.25909901521868</v>
      </c>
      <c r="AC125" s="226">
        <f>AC116-AC123+AC124</f>
        <v>242.59725686122968</v>
      </c>
      <c r="AD125" s="226">
        <f>AD116-AD123+AD124</f>
        <v>252.24070577997225</v>
      </c>
      <c r="AE125" s="226">
        <f>AE116-AE123+AE124</f>
        <v>230.57932735510849</v>
      </c>
      <c r="AF125" s="226">
        <f>AF116-AF123+AF124</f>
        <v>224.40926904813702</v>
      </c>
      <c r="AG125" s="66">
        <f>SUM(AC125:AF125)</f>
        <v>949.82655904444744</v>
      </c>
      <c r="AH125" s="226">
        <f>AH116-AH123+AH124</f>
        <v>256.21353082867518</v>
      </c>
      <c r="AI125" s="226">
        <f>AI116-AI123+AI124</f>
        <v>266.52038588757478</v>
      </c>
      <c r="AJ125" s="226">
        <f>AJ116-AJ123+AJ124</f>
        <v>243.34316099378412</v>
      </c>
      <c r="AK125" s="226">
        <f>AK116-AK123+AK124</f>
        <v>236.7441853362335</v>
      </c>
      <c r="AL125" s="66">
        <f>SUM(AH125:AK125)</f>
        <v>1002.8212630462675</v>
      </c>
    </row>
    <row r="126" spans="1:38" outlineLevel="1" x14ac:dyDescent="0.25">
      <c r="A126" s="293"/>
      <c r="B126" s="185" t="s">
        <v>195</v>
      </c>
      <c r="C126" s="161"/>
      <c r="D126" s="443">
        <f>+D125/D116</f>
        <v>0.34839476813317488</v>
      </c>
      <c r="E126" s="443">
        <f>+E125/E116</f>
        <v>0.33340797133900574</v>
      </c>
      <c r="F126" s="443">
        <f>+F125/F116</f>
        <v>0.34108381773860863</v>
      </c>
      <c r="G126" s="443">
        <f>+G125/G116</f>
        <v>0.37571344223578024</v>
      </c>
      <c r="H126" s="358">
        <f>H125/H116</f>
        <v>0.35004516711833789</v>
      </c>
      <c r="I126" s="443">
        <f>+I125/I116</f>
        <v>0.3548321876263647</v>
      </c>
      <c r="J126" s="443">
        <f>+J125/J116</f>
        <v>0.36524754382585239</v>
      </c>
      <c r="K126" s="443">
        <f>+K125/K116</f>
        <v>0.27766599597585523</v>
      </c>
      <c r="L126" s="227">
        <f>+L125/L116</f>
        <v>0.38730201174287848</v>
      </c>
      <c r="M126" s="94">
        <f>M125/M116</f>
        <v>0.34678589860555586</v>
      </c>
      <c r="N126" s="227">
        <f>+N125/N116</f>
        <v>0.38806479730556842</v>
      </c>
      <c r="O126" s="227">
        <f>+O125/O116</f>
        <v>0.3856615724472135</v>
      </c>
      <c r="P126" s="227">
        <f>+P125/P116</f>
        <v>0.39823683266398963</v>
      </c>
      <c r="Q126" s="227">
        <f>+Q125/Q116</f>
        <v>0.40067062070277365</v>
      </c>
      <c r="R126" s="94">
        <f>R125/R116</f>
        <v>0.3928020565093896</v>
      </c>
      <c r="S126" s="227">
        <f>+S125/S116</f>
        <v>0.38442282413384321</v>
      </c>
      <c r="T126" s="227">
        <f>+T125/T116</f>
        <v>0.38094103658980188</v>
      </c>
      <c r="U126" s="227">
        <f>+U125/U116</f>
        <v>0.39079824238035277</v>
      </c>
      <c r="V126" s="227">
        <f>+V125/V116</f>
        <v>0.39371310046285485</v>
      </c>
      <c r="W126" s="94">
        <f>W125/W116</f>
        <v>0.38718294444843726</v>
      </c>
      <c r="X126" s="227">
        <f>+X125/X116</f>
        <v>0.37931248582695049</v>
      </c>
      <c r="Y126" s="227">
        <f>+Y125/Y116</f>
        <v>0.37567057368517864</v>
      </c>
      <c r="Z126" s="227">
        <f>+Z125/Z116</f>
        <v>0.38466472303064964</v>
      </c>
      <c r="AA126" s="227">
        <f>+AA125/AA116</f>
        <v>0.38757846653712497</v>
      </c>
      <c r="AB126" s="94">
        <f>AB125/AB116</f>
        <v>0.38154451647092891</v>
      </c>
      <c r="AC126" s="227">
        <f>+AC125/AC116</f>
        <v>0.37419386517447567</v>
      </c>
      <c r="AD126" s="227">
        <f>+AD125/AD116</f>
        <v>0.37070550322294221</v>
      </c>
      <c r="AE126" s="227">
        <f>+AE125/AE116</f>
        <v>0.37909421569435786</v>
      </c>
      <c r="AF126" s="227">
        <f>+AF125/AF116</f>
        <v>0.38185164501868202</v>
      </c>
      <c r="AG126" s="94">
        <f>AG125/AG116</f>
        <v>0.37621683735300976</v>
      </c>
      <c r="AH126" s="227">
        <f>+AH125/AH116</f>
        <v>0.36934230990205846</v>
      </c>
      <c r="AI126" s="227">
        <f>+AI125/AI116</f>
        <v>0.36606694603832574</v>
      </c>
      <c r="AJ126" s="227">
        <f>+AJ125/AJ116</f>
        <v>0.37390576171074086</v>
      </c>
      <c r="AK126" s="227">
        <f>+AK125/AK116</f>
        <v>0.37648650886544693</v>
      </c>
      <c r="AL126" s="94">
        <f>AL125/AL116</f>
        <v>0.37122197350121988</v>
      </c>
    </row>
    <row r="127" spans="1:38" s="228" customFormat="1" outlineLevel="1" x14ac:dyDescent="0.25">
      <c r="A127" s="309"/>
      <c r="B127" s="231" t="s">
        <v>190</v>
      </c>
      <c r="C127" s="229"/>
      <c r="D127" s="332">
        <f t="shared" ref="D127" si="523">+D123-D120</f>
        <v>370.2</v>
      </c>
      <c r="E127" s="332">
        <f>+E123-E120</f>
        <v>325.60000000000002</v>
      </c>
      <c r="F127" s="332">
        <f>+F123-F120</f>
        <v>400</v>
      </c>
      <c r="G127" s="332">
        <f>+G123-G120</f>
        <v>382.00000000000006</v>
      </c>
      <c r="H127" s="373"/>
      <c r="I127" s="332">
        <f t="shared" ref="I127:K127" si="524">+I123-I120</f>
        <v>361.8</v>
      </c>
      <c r="J127" s="332">
        <f t="shared" si="524"/>
        <v>372.3</v>
      </c>
      <c r="K127" s="332">
        <f t="shared" si="524"/>
        <v>373.79999999999995</v>
      </c>
      <c r="L127" s="207">
        <f>+L123-L120</f>
        <v>312.67965900000007</v>
      </c>
      <c r="M127" s="230"/>
      <c r="N127" s="207">
        <f t="shared" ref="N127:Q127" si="525">+N123-N120</f>
        <v>370.4554</v>
      </c>
      <c r="O127" s="207">
        <f t="shared" si="525"/>
        <v>388.80590000000001</v>
      </c>
      <c r="P127" s="207">
        <f t="shared" si="525"/>
        <v>347.55210000000005</v>
      </c>
      <c r="Q127" s="207">
        <f t="shared" si="525"/>
        <v>335.8093872</v>
      </c>
      <c r="R127" s="230"/>
      <c r="S127" s="207">
        <f t="shared" ref="S127:V127" si="526">+S123-S120</f>
        <v>396.38727800000009</v>
      </c>
      <c r="T127" s="207">
        <f t="shared" si="526"/>
        <v>416.022313</v>
      </c>
      <c r="U127" s="207">
        <f t="shared" si="526"/>
        <v>371.8807470000001</v>
      </c>
      <c r="V127" s="207">
        <f t="shared" si="526"/>
        <v>359.31604430400006</v>
      </c>
      <c r="W127" s="230"/>
      <c r="X127" s="207">
        <f t="shared" ref="X127:AA127" si="527">+X123-X120</f>
        <v>424.13438746000003</v>
      </c>
      <c r="Y127" s="207">
        <f t="shared" si="527"/>
        <v>445.14387491000008</v>
      </c>
      <c r="Z127" s="207">
        <f t="shared" si="527"/>
        <v>397.91239929000005</v>
      </c>
      <c r="AA127" s="207">
        <f t="shared" si="527"/>
        <v>384.4681674052801</v>
      </c>
      <c r="AB127" s="230"/>
      <c r="AC127" s="207">
        <f t="shared" ref="AC127:AF127" si="528">+AC123-AC120</f>
        <v>453.82379458220021</v>
      </c>
      <c r="AD127" s="207">
        <f t="shared" si="528"/>
        <v>476.30394615370011</v>
      </c>
      <c r="AE127" s="207">
        <f t="shared" si="528"/>
        <v>425.76626724030018</v>
      </c>
      <c r="AF127" s="207">
        <f t="shared" si="528"/>
        <v>411.38093912364968</v>
      </c>
      <c r="AG127" s="230"/>
      <c r="AH127" s="207">
        <f t="shared" ref="AH127:AK127" si="529">+AH123-AH120</f>
        <v>485.59146020295424</v>
      </c>
      <c r="AI127" s="207">
        <f t="shared" si="529"/>
        <v>509.64522238445915</v>
      </c>
      <c r="AJ127" s="207">
        <f t="shared" si="529"/>
        <v>455.56990594712113</v>
      </c>
      <c r="AK127" s="207">
        <f t="shared" si="529"/>
        <v>440.17760486230515</v>
      </c>
      <c r="AL127" s="230"/>
    </row>
    <row r="128" spans="1:38" s="228" customFormat="1" outlineLevel="1" x14ac:dyDescent="0.25">
      <c r="A128" s="309"/>
      <c r="B128" s="231" t="s">
        <v>191</v>
      </c>
      <c r="C128" s="229"/>
      <c r="D128" s="232">
        <f>+D127/D116</f>
        <v>0.73365041617122473</v>
      </c>
      <c r="E128" s="232">
        <f>+E127/E116</f>
        <v>0.72906403940886699</v>
      </c>
      <c r="F128" s="232">
        <f>+F127/F116</f>
        <v>0.75004687792987068</v>
      </c>
      <c r="G128" s="323">
        <f>+G127/G116</f>
        <v>0.75182050777406029</v>
      </c>
      <c r="H128" s="230"/>
      <c r="I128" s="323">
        <f t="shared" ref="I128:K128" si="530">+I127/I116</f>
        <v>0.73150020218358269</v>
      </c>
      <c r="J128" s="323">
        <f t="shared" si="530"/>
        <v>0.7172028510884223</v>
      </c>
      <c r="K128" s="323">
        <f t="shared" si="530"/>
        <v>0.83568075117370877</v>
      </c>
      <c r="L128" s="233">
        <v>0.73</v>
      </c>
      <c r="M128" s="230"/>
      <c r="N128" s="233">
        <v>0.7</v>
      </c>
      <c r="O128" s="233">
        <v>0.7</v>
      </c>
      <c r="P128" s="233">
        <v>0.7</v>
      </c>
      <c r="Q128" s="233">
        <v>0.7</v>
      </c>
      <c r="R128" s="230"/>
      <c r="S128" s="233">
        <f>+N128</f>
        <v>0.7</v>
      </c>
      <c r="T128" s="233">
        <f>+O128</f>
        <v>0.7</v>
      </c>
      <c r="U128" s="233">
        <f>+P128</f>
        <v>0.7</v>
      </c>
      <c r="V128" s="233">
        <f>+Q128</f>
        <v>0.7</v>
      </c>
      <c r="W128" s="230"/>
      <c r="X128" s="233">
        <f>+S128</f>
        <v>0.7</v>
      </c>
      <c r="Y128" s="233">
        <f>+T128</f>
        <v>0.7</v>
      </c>
      <c r="Z128" s="233">
        <f>+U128</f>
        <v>0.7</v>
      </c>
      <c r="AA128" s="233">
        <f>+V128</f>
        <v>0.7</v>
      </c>
      <c r="AB128" s="230"/>
      <c r="AC128" s="233">
        <f>+X128</f>
        <v>0.7</v>
      </c>
      <c r="AD128" s="233">
        <f>+Y128</f>
        <v>0.7</v>
      </c>
      <c r="AE128" s="233">
        <f>+Z128</f>
        <v>0.7</v>
      </c>
      <c r="AF128" s="233">
        <f>+AA128</f>
        <v>0.7</v>
      </c>
      <c r="AG128" s="230"/>
      <c r="AH128" s="233">
        <f>+AC128</f>
        <v>0.7</v>
      </c>
      <c r="AI128" s="233">
        <f>+AD128</f>
        <v>0.7</v>
      </c>
      <c r="AJ128" s="233">
        <f>+AE128</f>
        <v>0.7</v>
      </c>
      <c r="AK128" s="233">
        <f>+AF128</f>
        <v>0.7</v>
      </c>
      <c r="AL128" s="230"/>
    </row>
    <row r="129" spans="1:38" ht="18" x14ac:dyDescent="0.4">
      <c r="A129" s="293"/>
      <c r="B129" s="512" t="s">
        <v>196</v>
      </c>
      <c r="C129" s="513"/>
      <c r="D129" s="35" t="s">
        <v>123</v>
      </c>
      <c r="E129" s="35" t="s">
        <v>281</v>
      </c>
      <c r="F129" s="35" t="s">
        <v>285</v>
      </c>
      <c r="G129" s="35" t="s">
        <v>295</v>
      </c>
      <c r="H129" s="102" t="s">
        <v>296</v>
      </c>
      <c r="I129" s="35" t="s">
        <v>297</v>
      </c>
      <c r="J129" s="35" t="s">
        <v>298</v>
      </c>
      <c r="K129" s="35" t="s">
        <v>299</v>
      </c>
      <c r="L129" s="33" t="s">
        <v>141</v>
      </c>
      <c r="M129" s="105" t="s">
        <v>142</v>
      </c>
      <c r="N129" s="33" t="s">
        <v>143</v>
      </c>
      <c r="O129" s="33" t="s">
        <v>144</v>
      </c>
      <c r="P129" s="33" t="s">
        <v>145</v>
      </c>
      <c r="Q129" s="33" t="s">
        <v>146</v>
      </c>
      <c r="R129" s="105" t="s">
        <v>147</v>
      </c>
      <c r="S129" s="33" t="s">
        <v>148</v>
      </c>
      <c r="T129" s="33" t="s">
        <v>149</v>
      </c>
      <c r="U129" s="33" t="s">
        <v>150</v>
      </c>
      <c r="V129" s="33" t="s">
        <v>151</v>
      </c>
      <c r="W129" s="105" t="s">
        <v>152</v>
      </c>
      <c r="X129" s="33" t="s">
        <v>153</v>
      </c>
      <c r="Y129" s="33" t="s">
        <v>154</v>
      </c>
      <c r="Z129" s="33" t="s">
        <v>155</v>
      </c>
      <c r="AA129" s="33" t="s">
        <v>156</v>
      </c>
      <c r="AB129" s="105" t="s">
        <v>157</v>
      </c>
      <c r="AC129" s="33" t="s">
        <v>290</v>
      </c>
      <c r="AD129" s="33" t="s">
        <v>291</v>
      </c>
      <c r="AE129" s="33" t="s">
        <v>292</v>
      </c>
      <c r="AF129" s="33" t="s">
        <v>293</v>
      </c>
      <c r="AG129" s="105" t="s">
        <v>294</v>
      </c>
      <c r="AH129" s="33" t="s">
        <v>323</v>
      </c>
      <c r="AI129" s="33" t="s">
        <v>324</v>
      </c>
      <c r="AJ129" s="33" t="s">
        <v>325</v>
      </c>
      <c r="AK129" s="33" t="s">
        <v>326</v>
      </c>
      <c r="AL129" s="105" t="s">
        <v>327</v>
      </c>
    </row>
    <row r="130" spans="1:38" s="20" customFormat="1" outlineLevel="1" x14ac:dyDescent="0.25">
      <c r="A130" s="308"/>
      <c r="B130" s="510" t="s">
        <v>343</v>
      </c>
      <c r="C130" s="511"/>
      <c r="D130" s="187">
        <v>11.6</v>
      </c>
      <c r="E130" s="187">
        <v>15.8</v>
      </c>
      <c r="F130" s="187">
        <v>23.3</v>
      </c>
      <c r="G130" s="187">
        <v>15.4</v>
      </c>
      <c r="H130" s="18"/>
      <c r="I130" s="187">
        <v>20.5</v>
      </c>
      <c r="J130" s="187">
        <v>12</v>
      </c>
      <c r="K130" s="187">
        <v>19.7</v>
      </c>
      <c r="L130" s="187">
        <f t="shared" ref="L130" si="531">+G130*(1+L131)</f>
        <v>13.09</v>
      </c>
      <c r="M130" s="18"/>
      <c r="N130" s="187">
        <f>+I130*(1+N131)</f>
        <v>19.474999999999998</v>
      </c>
      <c r="O130" s="187">
        <f>+J130*(1+O131)</f>
        <v>12.600000000000001</v>
      </c>
      <c r="P130" s="187">
        <f>+K130*(1+P131)</f>
        <v>21.67</v>
      </c>
      <c r="Q130" s="187">
        <f t="shared" ref="Q130" si="532">+L130*(1+Q131)</f>
        <v>14.399000000000001</v>
      </c>
      <c r="R130" s="18"/>
      <c r="S130" s="187">
        <f>+N130*(1+S131)</f>
        <v>21.422499999999999</v>
      </c>
      <c r="T130" s="187">
        <f>+O130*(1+T131)</f>
        <v>13.860000000000003</v>
      </c>
      <c r="U130" s="187">
        <f>+P130*(1+U131)</f>
        <v>23.837000000000003</v>
      </c>
      <c r="V130" s="187">
        <f t="shared" ref="V130" si="533">+Q130*(1+V131)</f>
        <v>15.838900000000002</v>
      </c>
      <c r="W130" s="18"/>
      <c r="X130" s="187">
        <f>+S130*(1+X131)</f>
        <v>23.56475</v>
      </c>
      <c r="Y130" s="187">
        <f>+T130*(1+Y131)</f>
        <v>15.246000000000004</v>
      </c>
      <c r="Z130" s="187">
        <f>+U130*(1+Z131)</f>
        <v>26.220700000000004</v>
      </c>
      <c r="AA130" s="187">
        <f t="shared" ref="AA130" si="534">+V130*(1+AA131)</f>
        <v>17.422790000000003</v>
      </c>
      <c r="AB130" s="27"/>
      <c r="AC130" s="187">
        <f>+X130*(1+AC131)</f>
        <v>25.921225000000003</v>
      </c>
      <c r="AD130" s="187">
        <f>+Y130*(1+AD131)</f>
        <v>16.770600000000005</v>
      </c>
      <c r="AE130" s="187">
        <f>+Z130*(1+AE131)</f>
        <v>28.842770000000009</v>
      </c>
      <c r="AF130" s="187">
        <f t="shared" ref="AF130" si="535">+AA130*(1+AF131)</f>
        <v>19.165069000000006</v>
      </c>
      <c r="AG130" s="27"/>
      <c r="AH130" s="187">
        <f>+AC130*(1+AH131)</f>
        <v>28.513347500000005</v>
      </c>
      <c r="AI130" s="187">
        <f>+AD130*(1+AI131)</f>
        <v>18.447660000000006</v>
      </c>
      <c r="AJ130" s="187">
        <f>+AE130*(1+AJ131)</f>
        <v>31.727047000000013</v>
      </c>
      <c r="AK130" s="187">
        <f t="shared" ref="AK130" si="536">+AF130*(1+AK131)</f>
        <v>21.081575900000008</v>
      </c>
      <c r="AL130" s="27"/>
    </row>
    <row r="131" spans="1:38" s="20" customFormat="1" outlineLevel="1" x14ac:dyDescent="0.25">
      <c r="A131" s="308"/>
      <c r="B131" s="92" t="s">
        <v>344</v>
      </c>
      <c r="C131" s="83"/>
      <c r="D131" s="63"/>
      <c r="E131" s="63"/>
      <c r="F131" s="63"/>
      <c r="G131" s="327"/>
      <c r="H131" s="377"/>
      <c r="I131" s="327">
        <f t="shared" ref="I131:J131" si="537">I130/D130-1</f>
        <v>0.76724137931034497</v>
      </c>
      <c r="J131" s="327">
        <f t="shared" si="537"/>
        <v>-0.24050632911392411</v>
      </c>
      <c r="K131" s="327">
        <f>K130/F130-1</f>
        <v>-0.15450643776824036</v>
      </c>
      <c r="L131" s="71">
        <v>-0.15</v>
      </c>
      <c r="M131" s="18"/>
      <c r="N131" s="71">
        <v>-0.05</v>
      </c>
      <c r="O131" s="71">
        <v>0.05</v>
      </c>
      <c r="P131" s="71">
        <v>0.1</v>
      </c>
      <c r="Q131" s="71">
        <v>0.1</v>
      </c>
      <c r="R131" s="18"/>
      <c r="S131" s="71">
        <v>0.1</v>
      </c>
      <c r="T131" s="71">
        <v>0.1</v>
      </c>
      <c r="U131" s="71">
        <f>AVERAGE(T131,S131,Q131,P131)</f>
        <v>0.1</v>
      </c>
      <c r="V131" s="71">
        <f>AVERAGE(U131,T131,S131,Q131)</f>
        <v>0.1</v>
      </c>
      <c r="W131" s="18"/>
      <c r="X131" s="71">
        <f>AVERAGE(V131,U131,T131,S131)</f>
        <v>0.1</v>
      </c>
      <c r="Y131" s="71">
        <f>AVERAGE(X131,V131,U131,T131)</f>
        <v>0.1</v>
      </c>
      <c r="Z131" s="71">
        <f>AVERAGE(Y131,X131,V131,U131)</f>
        <v>0.1</v>
      </c>
      <c r="AA131" s="71">
        <f>AVERAGE(Z131,Y131,X131,V131)</f>
        <v>0.1</v>
      </c>
      <c r="AB131" s="27"/>
      <c r="AC131" s="71">
        <f>AVERAGE(AA131,Z131,Y131,X131)</f>
        <v>0.1</v>
      </c>
      <c r="AD131" s="71">
        <f>AVERAGE(AC131,AA131,Z131,Y131)</f>
        <v>0.1</v>
      </c>
      <c r="AE131" s="71">
        <f>AVERAGE(AD131,AC131,AA131,Z131)</f>
        <v>0.1</v>
      </c>
      <c r="AF131" s="71">
        <f>AVERAGE(AE131,AD131,AC131,AA131)</f>
        <v>0.1</v>
      </c>
      <c r="AG131" s="27"/>
      <c r="AH131" s="71">
        <f>AVERAGE(AF131,AE131,AD131,AC131)</f>
        <v>0.1</v>
      </c>
      <c r="AI131" s="71">
        <f>AVERAGE(AH131,AF131,AE131,AD131)</f>
        <v>0.1</v>
      </c>
      <c r="AJ131" s="71">
        <f>AVERAGE(AI131,AH131,AF131,AE131)</f>
        <v>0.1</v>
      </c>
      <c r="AK131" s="71">
        <f>AVERAGE(AJ131,AI131,AH131,AF131)</f>
        <v>0.1</v>
      </c>
      <c r="AL131" s="27"/>
    </row>
    <row r="132" spans="1:38" outlineLevel="1" x14ac:dyDescent="0.25">
      <c r="A132" s="293"/>
      <c r="B132" s="553" t="s">
        <v>300</v>
      </c>
      <c r="C132" s="554"/>
      <c r="D132" s="187">
        <v>13.4</v>
      </c>
      <c r="E132" s="187">
        <v>15.9</v>
      </c>
      <c r="F132" s="187">
        <v>22.4</v>
      </c>
      <c r="G132" s="300">
        <v>15.5</v>
      </c>
      <c r="H132" s="313"/>
      <c r="I132" s="300">
        <v>20.7</v>
      </c>
      <c r="J132" s="300">
        <v>10.199999999999999</v>
      </c>
      <c r="K132" s="300">
        <v>20.8</v>
      </c>
      <c r="L132" s="258">
        <f>AVERAGE(K132,J132,I132,G132)</f>
        <v>16.8</v>
      </c>
      <c r="M132" s="18"/>
      <c r="N132" s="258">
        <f>AVERAGE(L132,K132,J132,I132)</f>
        <v>17.125</v>
      </c>
      <c r="O132" s="258">
        <f>AVERAGE(N132,L132,K132,J132)</f>
        <v>16.231249999999999</v>
      </c>
      <c r="P132" s="258">
        <f>AVERAGE(O132,N132,L132,K132)</f>
        <v>17.739062499999999</v>
      </c>
      <c r="Q132" s="258">
        <f>AVERAGE(P132,O132,N132,L132)</f>
        <v>16.973828125000001</v>
      </c>
      <c r="R132" s="18"/>
      <c r="S132" s="258">
        <f>AVERAGE(Q132,P132,O132,N132)</f>
        <v>17.017285156250001</v>
      </c>
      <c r="T132" s="258">
        <f>AVERAGE(S132,Q132,P132,O132)</f>
        <v>16.9903564453125</v>
      </c>
      <c r="U132" s="258">
        <f>AVERAGE(T132,S132,Q132,P132)</f>
        <v>17.180133056640624</v>
      </c>
      <c r="V132" s="258">
        <f>AVERAGE(U132,T132,S132,Q132)</f>
        <v>17.040400695800781</v>
      </c>
      <c r="W132" s="18"/>
      <c r="X132" s="258">
        <f>AVERAGE(V132,U132,T132,S132)</f>
        <v>17.057043838500977</v>
      </c>
      <c r="Y132" s="258">
        <f>AVERAGE(X132,V132,U132,T132)</f>
        <v>17.066983509063721</v>
      </c>
      <c r="Z132" s="258">
        <f>AVERAGE(Y132,X132,V132,U132)</f>
        <v>17.086140275001526</v>
      </c>
      <c r="AA132" s="258">
        <f>AVERAGE(Z132,Y132,X132,V132)</f>
        <v>17.06264207959175</v>
      </c>
      <c r="AB132" s="18"/>
      <c r="AC132" s="258">
        <f>AVERAGE(AA132,Z132,Y132,X132)</f>
        <v>17.068202425539493</v>
      </c>
      <c r="AD132" s="258">
        <f>AVERAGE(AC132,AA132,Z132,Y132)</f>
        <v>17.070992072299124</v>
      </c>
      <c r="AE132" s="258">
        <f>AVERAGE(AD132,AC132,AA132,Z132)</f>
        <v>17.071994213107974</v>
      </c>
      <c r="AF132" s="258">
        <f>AVERAGE(AE132,AD132,AC132,AA132)</f>
        <v>17.068457697634585</v>
      </c>
      <c r="AG132" s="18"/>
      <c r="AH132" s="258">
        <f>AVERAGE(AF132,AE132,AD132,AC132)</f>
        <v>17.069911602145293</v>
      </c>
      <c r="AI132" s="258">
        <f>AVERAGE(AH132,AF132,AE132,AD132)</f>
        <v>17.070338896296743</v>
      </c>
      <c r="AJ132" s="258">
        <f>AVERAGE(AI132,AH132,AF132,AE132)</f>
        <v>17.07017560229615</v>
      </c>
      <c r="AK132" s="258">
        <f>AVERAGE(AJ132,AI132,AH132,AF132)</f>
        <v>17.069720949593194</v>
      </c>
      <c r="AL132" s="18"/>
    </row>
    <row r="133" spans="1:38" outlineLevel="1" x14ac:dyDescent="0.25">
      <c r="A133" s="293"/>
      <c r="B133" s="50" t="s">
        <v>159</v>
      </c>
      <c r="C133" s="39"/>
      <c r="D133" s="187">
        <v>3.2</v>
      </c>
      <c r="E133" s="187">
        <v>4.3</v>
      </c>
      <c r="F133" s="187">
        <v>5.8</v>
      </c>
      <c r="G133" s="300">
        <f>5.2+0.1</f>
        <v>5.3</v>
      </c>
      <c r="H133" s="313"/>
      <c r="I133" s="300">
        <v>2.8</v>
      </c>
      <c r="J133" s="300">
        <v>3.7</v>
      </c>
      <c r="K133" s="300">
        <v>4</v>
      </c>
      <c r="L133" s="258">
        <f t="shared" ref="L133" si="538">AVERAGE(K133,J133,I133,G133)</f>
        <v>3.95</v>
      </c>
      <c r="M133" s="18"/>
      <c r="N133" s="258">
        <f t="shared" ref="N133" si="539">AVERAGE(L133,K133,J133,I133)</f>
        <v>3.6124999999999998</v>
      </c>
      <c r="O133" s="258">
        <f t="shared" ref="O133" si="540">AVERAGE(N133,L133,K133,J133)</f>
        <v>3.8156249999999998</v>
      </c>
      <c r="P133" s="258">
        <f t="shared" ref="P133" si="541">AVERAGE(O133,N133,L133,K133)</f>
        <v>3.8445312500000002</v>
      </c>
      <c r="Q133" s="258">
        <f t="shared" ref="Q133" si="542">AVERAGE(P133,O133,N133,L133)</f>
        <v>3.8056640625</v>
      </c>
      <c r="R133" s="18"/>
      <c r="S133" s="258">
        <f t="shared" ref="S133" si="543">AVERAGE(Q133,P133,O133,N133)</f>
        <v>3.7695800781250002</v>
      </c>
      <c r="T133" s="258">
        <f t="shared" ref="T133" si="544">AVERAGE(S133,Q133,P133,O133)</f>
        <v>3.8088500976562498</v>
      </c>
      <c r="U133" s="258">
        <f t="shared" ref="U133" si="545">AVERAGE(T133,S133,Q133,P133)</f>
        <v>3.8071563720703123</v>
      </c>
      <c r="V133" s="258">
        <f t="shared" ref="V133" si="546">AVERAGE(U133,T133,S133,Q133)</f>
        <v>3.7978126525878908</v>
      </c>
      <c r="W133" s="18"/>
      <c r="X133" s="258">
        <f t="shared" ref="X133" si="547">AVERAGE(V133,U133,T133,S133)</f>
        <v>3.7958498001098633</v>
      </c>
      <c r="Y133" s="258">
        <f t="shared" ref="Y133" si="548">AVERAGE(X133,V133,U133,T133)</f>
        <v>3.8024172306060793</v>
      </c>
      <c r="Z133" s="258">
        <f t="shared" ref="Z133" si="549">AVERAGE(Y133,X133,V133,U133)</f>
        <v>3.8008090138435362</v>
      </c>
      <c r="AA133" s="258">
        <f t="shared" ref="AA133" si="550">AVERAGE(Z133,Y133,X133,V133)</f>
        <v>3.7992221742868422</v>
      </c>
      <c r="AB133" s="18"/>
      <c r="AC133" s="258">
        <f t="shared" ref="AC133" si="551">AVERAGE(AA133,Z133,Y133,X133)</f>
        <v>3.7995745547115805</v>
      </c>
      <c r="AD133" s="258">
        <f t="shared" ref="AD133" si="552">AVERAGE(AC133,AA133,Z133,Y133)</f>
        <v>3.8005057433620095</v>
      </c>
      <c r="AE133" s="258">
        <f t="shared" ref="AE133" si="553">AVERAGE(AD133,AC133,AA133,Z133)</f>
        <v>3.8000278715509923</v>
      </c>
      <c r="AF133" s="258">
        <f t="shared" ref="AF133" si="554">AVERAGE(AE133,AD133,AC133,AA133)</f>
        <v>3.7998325859778559</v>
      </c>
      <c r="AG133" s="18"/>
      <c r="AH133" s="258">
        <f t="shared" ref="AH133" si="555">AVERAGE(AF133,AE133,AD133,AC133)</f>
        <v>3.7999851889006093</v>
      </c>
      <c r="AI133" s="258">
        <f t="shared" ref="AI133" si="556">AVERAGE(AH133,AF133,AE133,AD133)</f>
        <v>3.800087847447867</v>
      </c>
      <c r="AJ133" s="258">
        <f t="shared" ref="AJ133" si="557">AVERAGE(AI133,AH133,AF133,AE133)</f>
        <v>3.7999833734693311</v>
      </c>
      <c r="AK133" s="258">
        <f t="shared" ref="AK133" si="558">AVERAGE(AJ133,AI133,AH133,AF133)</f>
        <v>3.7999722489489161</v>
      </c>
      <c r="AL133" s="18"/>
    </row>
    <row r="134" spans="1:38" outlineLevel="1" x14ac:dyDescent="0.25">
      <c r="A134" s="293"/>
      <c r="B134" s="50" t="s">
        <v>160</v>
      </c>
      <c r="C134" s="39"/>
      <c r="D134" s="224">
        <v>39.5</v>
      </c>
      <c r="E134" s="224">
        <v>40.5</v>
      </c>
      <c r="F134" s="224">
        <v>39.6</v>
      </c>
      <c r="G134" s="329">
        <v>37.299999999999997</v>
      </c>
      <c r="H134" s="377"/>
      <c r="I134" s="329">
        <v>34.9</v>
      </c>
      <c r="J134" s="329">
        <v>34.5</v>
      </c>
      <c r="K134" s="329">
        <v>40.9</v>
      </c>
      <c r="L134" s="224">
        <f>(K134/(K73+K106+K120+K134))*L243</f>
        <v>41.749182649817662</v>
      </c>
      <c r="M134" s="18"/>
      <c r="N134" s="224">
        <f>(L134/(L73+L106+L120+L134))*N243</f>
        <v>41.809594234730064</v>
      </c>
      <c r="O134" s="224">
        <f>(N134/(N73+N106+N120+N134))*O243</f>
        <v>42.402145838857109</v>
      </c>
      <c r="P134" s="224">
        <f>(O134/(O73+O106+O120+O134))*P243</f>
        <v>42.726746942976312</v>
      </c>
      <c r="Q134" s="224">
        <f>(P134/(P73+P106+P120+P134))*Q243</f>
        <v>43.063151629404395</v>
      </c>
      <c r="R134" s="18"/>
      <c r="S134" s="224">
        <f>(Q134/(Q73+Q106+Q120+Q134))*S243</f>
        <v>43.563204999798998</v>
      </c>
      <c r="T134" s="224">
        <f>(S134/(S73+S106+S120+S134))*T243</f>
        <v>44.170979988541468</v>
      </c>
      <c r="U134" s="224">
        <f>(T134/(T73+T106+T120+T134))*U243</f>
        <v>44.42761509884707</v>
      </c>
      <c r="V134" s="224">
        <f>(U134/(U73+U106+U120+U134))*V243</f>
        <v>44.740420077057905</v>
      </c>
      <c r="W134" s="18"/>
      <c r="X134" s="224">
        <f>(V134/(V73+V106+V120+V134))*X243</f>
        <v>45.176923226105608</v>
      </c>
      <c r="Y134" s="224">
        <f>(X134/(X73+X106+X120+X134))*Y243</f>
        <v>45.3106057770365</v>
      </c>
      <c r="Z134" s="224">
        <f>(Y134/(Y73+Y106+Y120+Y134))*Z243</f>
        <v>45.187114540537941</v>
      </c>
      <c r="AA134" s="224">
        <f>(Z134/(Z73+Z106+Z120+Z134))*AA243</f>
        <v>45.136801437967826</v>
      </c>
      <c r="AB134" s="18"/>
      <c r="AC134" s="224">
        <f>(AA134/(AA73+AA106+AA120+AA134))*AC243</f>
        <v>45.200664246700086</v>
      </c>
      <c r="AD134" s="224">
        <f>(AC134/(AC73+AC106+AC120+AC134))*AD243</f>
        <v>45.514018868217931</v>
      </c>
      <c r="AE134" s="224">
        <f>(AD134/(AD73+AD106+AD120+AD134))*AE243</f>
        <v>45.548449161143964</v>
      </c>
      <c r="AF134" s="224">
        <f>(AE134/(AE73+AE106+AE120+AE134))*AF243</f>
        <v>45.652193131495032</v>
      </c>
      <c r="AG134" s="18"/>
      <c r="AH134" s="224">
        <f>(AF134/(AF73+AF106+AF120+AF134))*AH243</f>
        <v>45.867046576277197</v>
      </c>
      <c r="AI134" s="224">
        <f>(AH134/(AH73+AH106+AH120+AH134))*AI243</f>
        <v>46.345871973422817</v>
      </c>
      <c r="AJ134" s="224">
        <f>(AI134/(AI73+AI106+AI120+AI134))*AJ243</f>
        <v>46.516985513528958</v>
      </c>
      <c r="AK134" s="224">
        <f>(AJ134/(AJ73+AJ106+AJ120+AJ134))*AK243</f>
        <v>46.757292461778832</v>
      </c>
      <c r="AL134" s="18"/>
    </row>
    <row r="135" spans="1:38" outlineLevel="1" x14ac:dyDescent="0.25">
      <c r="A135" s="293"/>
      <c r="B135" s="50" t="s">
        <v>161</v>
      </c>
      <c r="C135" s="39"/>
      <c r="D135" s="187">
        <v>300.39999999999998</v>
      </c>
      <c r="E135" s="187">
        <v>303.89999999999998</v>
      </c>
      <c r="F135" s="187">
        <v>299</v>
      </c>
      <c r="G135" s="300">
        <v>267.39999999999998</v>
      </c>
      <c r="H135" s="313"/>
      <c r="I135" s="300">
        <v>292.2</v>
      </c>
      <c r="J135" s="300">
        <v>271.60000000000002</v>
      </c>
      <c r="K135" s="300">
        <v>269.10000000000002</v>
      </c>
      <c r="L135" s="258">
        <f>AVERAGE(K135,J135,I135,G135)-20</f>
        <v>255.07500000000005</v>
      </c>
      <c r="M135" s="18"/>
      <c r="N135" s="258">
        <f>AVERAGE(L135,K135,J135,I135)-20</f>
        <v>251.99375000000003</v>
      </c>
      <c r="O135" s="258">
        <f>AVERAGE(N135,L135,K135,J135)-20</f>
        <v>241.94218750000005</v>
      </c>
      <c r="P135" s="258">
        <f>AVERAGE(O135,N135,L135,K135)-20</f>
        <v>234.52773437500005</v>
      </c>
      <c r="Q135" s="258">
        <f>AVERAGE(P135,O135,N135,L135)-20</f>
        <v>225.88466796875002</v>
      </c>
      <c r="R135" s="18"/>
      <c r="S135" s="258">
        <f t="shared" ref="S135:S136" si="559">AVERAGE(Q135,P135,O135,N135)</f>
        <v>238.58708496093755</v>
      </c>
      <c r="T135" s="258">
        <f t="shared" ref="T135:T136" si="560">AVERAGE(S135,Q135,P135,O135)</f>
        <v>235.23541870117191</v>
      </c>
      <c r="U135" s="258">
        <f t="shared" ref="U135:U136" si="561">AVERAGE(T135,S135,Q135,P135)</f>
        <v>233.55872650146486</v>
      </c>
      <c r="V135" s="258">
        <f t="shared" ref="V135:V136" si="562">AVERAGE(U135,T135,S135,Q135)</f>
        <v>233.31647453308108</v>
      </c>
      <c r="W135" s="18"/>
      <c r="X135" s="258">
        <f t="shared" ref="X135:X136" si="563">AVERAGE(V135,U135,T135,S135)</f>
        <v>235.17442617416384</v>
      </c>
      <c r="Y135" s="258">
        <f t="shared" ref="Y135:Y136" si="564">AVERAGE(X135,V135,U135,T135)</f>
        <v>234.32126147747044</v>
      </c>
      <c r="Z135" s="258">
        <f t="shared" ref="Z135:Z136" si="565">AVERAGE(Y135,X135,V135,U135)</f>
        <v>234.09272217154506</v>
      </c>
      <c r="AA135" s="258">
        <f t="shared" ref="AA135:AA136" si="566">AVERAGE(Z135,Y135,X135,V135)</f>
        <v>234.22622108906509</v>
      </c>
      <c r="AB135" s="18"/>
      <c r="AC135" s="258">
        <f t="shared" ref="AC135:AC136" si="567">AVERAGE(AA135,Z135,Y135,X135)</f>
        <v>234.4536577280611</v>
      </c>
      <c r="AD135" s="258">
        <f t="shared" ref="AD135:AD136" si="568">AVERAGE(AC135,AA135,Z135,Y135)</f>
        <v>234.27346561653542</v>
      </c>
      <c r="AE135" s="258">
        <f t="shared" ref="AE135:AE136" si="569">AVERAGE(AD135,AC135,AA135,Z135)</f>
        <v>234.26151665130169</v>
      </c>
      <c r="AF135" s="258">
        <f t="shared" ref="AF135:AF136" si="570">AVERAGE(AE135,AD135,AC135,AA135)</f>
        <v>234.30371527124083</v>
      </c>
      <c r="AG135" s="18"/>
      <c r="AH135" s="258">
        <f t="shared" ref="AH135:AH136" si="571">AVERAGE(AF135,AE135,AD135,AC135)</f>
        <v>234.32308881678475</v>
      </c>
      <c r="AI135" s="258">
        <f t="shared" ref="AI135:AI136" si="572">AVERAGE(AH135,AF135,AE135,AD135)</f>
        <v>234.29044658896566</v>
      </c>
      <c r="AJ135" s="258">
        <f t="shared" ref="AJ135:AJ136" si="573">AVERAGE(AI135,AH135,AF135,AE135)</f>
        <v>234.29469183207323</v>
      </c>
      <c r="AK135" s="258">
        <f t="shared" ref="AK135:AK136" si="574">AVERAGE(AJ135,AI135,AH135,AF135)</f>
        <v>234.30298562726614</v>
      </c>
      <c r="AL135" s="18"/>
    </row>
    <row r="136" spans="1:38" ht="17.25" outlineLevel="1" x14ac:dyDescent="0.4">
      <c r="A136" s="293"/>
      <c r="B136" s="50" t="s">
        <v>169</v>
      </c>
      <c r="C136" s="39"/>
      <c r="D136" s="330">
        <v>13.9</v>
      </c>
      <c r="E136" s="330">
        <v>0.6</v>
      </c>
      <c r="F136" s="330">
        <v>6</v>
      </c>
      <c r="G136" s="330">
        <v>-0.9</v>
      </c>
      <c r="H136" s="378"/>
      <c r="I136" s="330">
        <v>0.3</v>
      </c>
      <c r="J136" s="330">
        <v>0</v>
      </c>
      <c r="K136" s="330">
        <v>22.1</v>
      </c>
      <c r="L136" s="335">
        <f t="shared" ref="L136" si="575">AVERAGE(K136,J136,I136,G136)</f>
        <v>5.3750000000000009</v>
      </c>
      <c r="M136" s="18"/>
      <c r="N136" s="335">
        <f t="shared" ref="N136" si="576">AVERAGE(L136,K136,J136,I136)</f>
        <v>6.9437500000000005</v>
      </c>
      <c r="O136" s="335">
        <f t="shared" ref="O136" si="577">AVERAGE(N136,L136,K136,J136)</f>
        <v>8.6046875000000007</v>
      </c>
      <c r="P136" s="335">
        <f t="shared" ref="P136" si="578">AVERAGE(O136,N136,L136,K136)</f>
        <v>10.755859375</v>
      </c>
      <c r="Q136" s="335">
        <f t="shared" ref="Q136" si="579">AVERAGE(P136,O136,N136,L136)</f>
        <v>7.9198242187500005</v>
      </c>
      <c r="R136" s="18"/>
      <c r="S136" s="335">
        <f t="shared" si="559"/>
        <v>8.5560302734375</v>
      </c>
      <c r="T136" s="335">
        <f t="shared" si="560"/>
        <v>8.9591003417968764</v>
      </c>
      <c r="U136" s="335">
        <f t="shared" si="561"/>
        <v>9.0477035522460945</v>
      </c>
      <c r="V136" s="335">
        <f t="shared" si="562"/>
        <v>8.6206645965576172</v>
      </c>
      <c r="W136" s="18"/>
      <c r="X136" s="335">
        <f t="shared" si="563"/>
        <v>8.7958746910095229</v>
      </c>
      <c r="Y136" s="335">
        <f t="shared" si="564"/>
        <v>8.8558357954025269</v>
      </c>
      <c r="Z136" s="335">
        <f t="shared" si="565"/>
        <v>8.8300196588039412</v>
      </c>
      <c r="AA136" s="335">
        <f t="shared" si="566"/>
        <v>8.775598685443402</v>
      </c>
      <c r="AB136" s="18"/>
      <c r="AC136" s="335">
        <f t="shared" si="567"/>
        <v>8.8143322076648474</v>
      </c>
      <c r="AD136" s="335">
        <f t="shared" si="568"/>
        <v>8.8189465868286803</v>
      </c>
      <c r="AE136" s="335">
        <f t="shared" si="569"/>
        <v>8.8097242846852168</v>
      </c>
      <c r="AF136" s="335">
        <f t="shared" si="570"/>
        <v>8.8046504411555375</v>
      </c>
      <c r="AG136" s="18"/>
      <c r="AH136" s="335">
        <f t="shared" si="571"/>
        <v>8.8119133800835705</v>
      </c>
      <c r="AI136" s="335">
        <f t="shared" si="572"/>
        <v>8.8113086731882504</v>
      </c>
      <c r="AJ136" s="335">
        <f t="shared" si="573"/>
        <v>8.8093991947781447</v>
      </c>
      <c r="AK136" s="335">
        <f t="shared" si="574"/>
        <v>8.8093179223013749</v>
      </c>
      <c r="AL136" s="18"/>
    </row>
    <row r="137" spans="1:38" outlineLevel="1" x14ac:dyDescent="0.25">
      <c r="A137" s="293"/>
      <c r="B137" s="185" t="s">
        <v>197</v>
      </c>
      <c r="C137" s="42"/>
      <c r="D137" s="298">
        <f t="shared" ref="D137:J137" si="580">SUM(D132:D136)</f>
        <v>370.4</v>
      </c>
      <c r="E137" s="298">
        <f t="shared" si="580"/>
        <v>365.2</v>
      </c>
      <c r="F137" s="298">
        <f t="shared" si="580"/>
        <v>372.8</v>
      </c>
      <c r="G137" s="298">
        <f t="shared" si="580"/>
        <v>324.60000000000002</v>
      </c>
      <c r="H137" s="377"/>
      <c r="I137" s="298">
        <f t="shared" si="580"/>
        <v>350.9</v>
      </c>
      <c r="J137" s="298">
        <f t="shared" si="580"/>
        <v>320</v>
      </c>
      <c r="K137" s="298">
        <f>SUM(K132:K136)</f>
        <v>356.90000000000003</v>
      </c>
      <c r="L137" s="189">
        <f>SUM(L132:L136)</f>
        <v>322.94918264981771</v>
      </c>
      <c r="M137" s="21"/>
      <c r="N137" s="189">
        <f t="shared" ref="N137" si="581">SUM(N132:N136)</f>
        <v>321.48459423473014</v>
      </c>
      <c r="O137" s="189">
        <f t="shared" ref="O137" si="582">SUM(O132:O136)</f>
        <v>312.99589583885717</v>
      </c>
      <c r="P137" s="189">
        <f t="shared" ref="P137" si="583">SUM(P132:P136)</f>
        <v>309.59393444297638</v>
      </c>
      <c r="Q137" s="189">
        <f t="shared" ref="Q137" si="584">SUM(Q132:Q136)</f>
        <v>297.64713600440444</v>
      </c>
      <c r="R137" s="21"/>
      <c r="S137" s="189">
        <f t="shared" ref="S137" si="585">SUM(S132:S136)</f>
        <v>311.49318546854903</v>
      </c>
      <c r="T137" s="189">
        <f t="shared" ref="T137" si="586">SUM(T132:T136)</f>
        <v>309.16470557447906</v>
      </c>
      <c r="U137" s="189">
        <f t="shared" ref="U137" si="587">SUM(U132:U136)</f>
        <v>308.02133458126895</v>
      </c>
      <c r="V137" s="189">
        <f t="shared" ref="V137" si="588">SUM(V132:V136)</f>
        <v>307.51577255508528</v>
      </c>
      <c r="W137" s="21"/>
      <c r="X137" s="189">
        <f t="shared" ref="X137" si="589">SUM(X132:X136)</f>
        <v>310.00011772988984</v>
      </c>
      <c r="Y137" s="189">
        <f t="shared" ref="Y137" si="590">SUM(Y132:Y136)</f>
        <v>309.35710378957924</v>
      </c>
      <c r="Z137" s="189">
        <f t="shared" ref="Z137" si="591">SUM(Z132:Z136)</f>
        <v>308.99680565973205</v>
      </c>
      <c r="AA137" s="189">
        <f t="shared" ref="AA137" si="592">SUM(AA132:AA136)</f>
        <v>309.00048546635492</v>
      </c>
      <c r="AB137" s="21"/>
      <c r="AC137" s="189">
        <f t="shared" ref="AC137" si="593">SUM(AC132:AC136)</f>
        <v>309.33643116267712</v>
      </c>
      <c r="AD137" s="189">
        <f t="shared" ref="AD137" si="594">SUM(AD132:AD136)</f>
        <v>309.47792888724319</v>
      </c>
      <c r="AE137" s="189">
        <f t="shared" ref="AE137" si="595">SUM(AE132:AE136)</f>
        <v>309.49171218178981</v>
      </c>
      <c r="AF137" s="189">
        <f t="shared" ref="AF137" si="596">SUM(AF132:AF136)</f>
        <v>309.62884912750388</v>
      </c>
      <c r="AG137" s="21"/>
      <c r="AH137" s="189">
        <f t="shared" ref="AH137" si="597">SUM(AH132:AH136)</f>
        <v>309.87194556419144</v>
      </c>
      <c r="AI137" s="189">
        <f t="shared" ref="AI137" si="598">SUM(AI132:AI136)</f>
        <v>310.31805397932135</v>
      </c>
      <c r="AJ137" s="189">
        <f t="shared" ref="AJ137" si="599">SUM(AJ132:AJ136)</f>
        <v>310.49123551614582</v>
      </c>
      <c r="AK137" s="189">
        <f t="shared" ref="AK137" si="600">SUM(AK132:AK136)</f>
        <v>310.73928920988845</v>
      </c>
      <c r="AL137" s="21"/>
    </row>
    <row r="138" spans="1:38" outlineLevel="1" x14ac:dyDescent="0.25">
      <c r="A138" s="293"/>
      <c r="B138" s="185" t="s">
        <v>198</v>
      </c>
      <c r="C138" s="161"/>
      <c r="D138" s="442">
        <f t="shared" ref="D138:J138" si="601">D130-D137</f>
        <v>-358.79999999999995</v>
      </c>
      <c r="E138" s="442">
        <f t="shared" si="601"/>
        <v>-349.4</v>
      </c>
      <c r="F138" s="442">
        <f t="shared" si="601"/>
        <v>-349.5</v>
      </c>
      <c r="G138" s="442">
        <f t="shared" si="601"/>
        <v>-309.20000000000005</v>
      </c>
      <c r="H138" s="444"/>
      <c r="I138" s="442">
        <f t="shared" si="601"/>
        <v>-330.4</v>
      </c>
      <c r="J138" s="442">
        <f t="shared" si="601"/>
        <v>-308</v>
      </c>
      <c r="K138" s="442">
        <f>K130-K137</f>
        <v>-337.20000000000005</v>
      </c>
      <c r="L138" s="226">
        <f>L130-L137</f>
        <v>-309.85918264981774</v>
      </c>
      <c r="M138" s="21"/>
      <c r="N138" s="226">
        <f t="shared" ref="N138:Q138" si="602">N130-N137</f>
        <v>-302.00959423473012</v>
      </c>
      <c r="O138" s="226">
        <f t="shared" si="602"/>
        <v>-300.39589583885714</v>
      </c>
      <c r="P138" s="226">
        <f t="shared" si="602"/>
        <v>-287.92393444297636</v>
      </c>
      <c r="Q138" s="226">
        <f t="shared" si="602"/>
        <v>-283.24813600440444</v>
      </c>
      <c r="R138" s="21"/>
      <c r="S138" s="226">
        <f t="shared" ref="S138" si="603">S130-S137</f>
        <v>-290.07068546854902</v>
      </c>
      <c r="T138" s="226">
        <f t="shared" ref="T138" si="604">T130-T137</f>
        <v>-295.30470557447904</v>
      </c>
      <c r="U138" s="226">
        <f t="shared" ref="U138" si="605">U130-U137</f>
        <v>-284.18433458126896</v>
      </c>
      <c r="V138" s="226">
        <f t="shared" ref="V138" si="606">V130-V137</f>
        <v>-291.67687255508525</v>
      </c>
      <c r="W138" s="21"/>
      <c r="X138" s="226">
        <f t="shared" ref="X138" si="607">X130-X137</f>
        <v>-286.43536772988983</v>
      </c>
      <c r="Y138" s="226">
        <f t="shared" ref="Y138" si="608">Y130-Y137</f>
        <v>-294.11110378957926</v>
      </c>
      <c r="Z138" s="226">
        <f t="shared" ref="Z138" si="609">Z130-Z137</f>
        <v>-282.77610565973202</v>
      </c>
      <c r="AA138" s="226">
        <f t="shared" ref="AA138" si="610">AA130-AA137</f>
        <v>-291.5776954663549</v>
      </c>
      <c r="AB138" s="21"/>
      <c r="AC138" s="226">
        <f t="shared" ref="AC138" si="611">AC130-AC137</f>
        <v>-283.41520616267712</v>
      </c>
      <c r="AD138" s="226">
        <f t="shared" ref="AD138" si="612">AD130-AD137</f>
        <v>-292.70732888724319</v>
      </c>
      <c r="AE138" s="226">
        <f t="shared" ref="AE138" si="613">AE130-AE137</f>
        <v>-280.64894218178978</v>
      </c>
      <c r="AF138" s="226">
        <f t="shared" ref="AF138" si="614">AF130-AF137</f>
        <v>-290.46378012750387</v>
      </c>
      <c r="AG138" s="21"/>
      <c r="AH138" s="226">
        <f t="shared" ref="AH138" si="615">AH130-AH137</f>
        <v>-281.35859806419143</v>
      </c>
      <c r="AI138" s="226">
        <f t="shared" ref="AI138" si="616">AI130-AI137</f>
        <v>-291.87039397932136</v>
      </c>
      <c r="AJ138" s="226">
        <f t="shared" ref="AJ138" si="617">AJ130-AJ137</f>
        <v>-278.76418851614579</v>
      </c>
      <c r="AK138" s="226">
        <f t="shared" ref="AK138" si="618">AK130-AK137</f>
        <v>-289.65771330988844</v>
      </c>
      <c r="AL138" s="21"/>
    </row>
    <row r="139" spans="1:38" s="228" customFormat="1" outlineLevel="1" x14ac:dyDescent="0.25">
      <c r="A139" s="309"/>
      <c r="B139" s="231" t="s">
        <v>190</v>
      </c>
      <c r="C139" s="229"/>
      <c r="D139" s="207">
        <f t="shared" ref="D139:J139" si="619">D137-D134</f>
        <v>330.9</v>
      </c>
      <c r="E139" s="207">
        <f t="shared" si="619"/>
        <v>324.7</v>
      </c>
      <c r="F139" s="207">
        <f t="shared" si="619"/>
        <v>333.2</v>
      </c>
      <c r="G139" s="207">
        <f t="shared" si="619"/>
        <v>287.3</v>
      </c>
      <c r="H139" s="209"/>
      <c r="I139" s="207">
        <f t="shared" si="619"/>
        <v>316</v>
      </c>
      <c r="J139" s="207">
        <f t="shared" si="619"/>
        <v>285.5</v>
      </c>
      <c r="K139" s="207">
        <f>K137-K134</f>
        <v>316.00000000000006</v>
      </c>
      <c r="L139" s="207">
        <f>L137-L134</f>
        <v>281.20000000000005</v>
      </c>
      <c r="M139" s="230"/>
      <c r="N139" s="207">
        <f t="shared" ref="N139:Q139" si="620">N137-N134</f>
        <v>279.67500000000007</v>
      </c>
      <c r="O139" s="207">
        <f t="shared" si="620"/>
        <v>270.59375000000006</v>
      </c>
      <c r="P139" s="207">
        <f t="shared" si="620"/>
        <v>266.86718750000006</v>
      </c>
      <c r="Q139" s="207">
        <f t="shared" si="620"/>
        <v>254.58398437500006</v>
      </c>
      <c r="R139" s="230"/>
      <c r="S139" s="207">
        <f t="shared" ref="S139:V139" si="621">S137-S134</f>
        <v>267.92998046875005</v>
      </c>
      <c r="T139" s="207">
        <f t="shared" si="621"/>
        <v>264.99372558593757</v>
      </c>
      <c r="U139" s="207">
        <f t="shared" si="621"/>
        <v>263.59371948242188</v>
      </c>
      <c r="V139" s="207">
        <f t="shared" si="621"/>
        <v>262.77535247802734</v>
      </c>
      <c r="W139" s="230"/>
      <c r="X139" s="207">
        <f t="shared" ref="X139:AA139" si="622">X137-X134</f>
        <v>264.82319450378424</v>
      </c>
      <c r="Y139" s="207">
        <f t="shared" si="622"/>
        <v>264.04649801254277</v>
      </c>
      <c r="Z139" s="207">
        <f t="shared" si="622"/>
        <v>263.8096911191941</v>
      </c>
      <c r="AA139" s="207">
        <f t="shared" si="622"/>
        <v>263.86368402838707</v>
      </c>
      <c r="AB139" s="230"/>
      <c r="AC139" s="207">
        <f t="shared" ref="AC139:AF139" si="623">AC137-AC134</f>
        <v>264.135766915977</v>
      </c>
      <c r="AD139" s="207">
        <f t="shared" si="623"/>
        <v>263.96391001902526</v>
      </c>
      <c r="AE139" s="207">
        <f t="shared" si="623"/>
        <v>263.94326302064587</v>
      </c>
      <c r="AF139" s="207">
        <f t="shared" si="623"/>
        <v>263.97665599600884</v>
      </c>
      <c r="AG139" s="230"/>
      <c r="AH139" s="207">
        <f t="shared" ref="AH139:AK139" si="624">AH137-AH134</f>
        <v>264.00489898791426</v>
      </c>
      <c r="AI139" s="207">
        <f t="shared" si="624"/>
        <v>263.9721820058985</v>
      </c>
      <c r="AJ139" s="207">
        <f t="shared" si="624"/>
        <v>263.97425000261688</v>
      </c>
      <c r="AK139" s="207">
        <f t="shared" si="624"/>
        <v>263.98199674810962</v>
      </c>
      <c r="AL139" s="230"/>
    </row>
    <row r="140" spans="1:38" s="228" customFormat="1" outlineLevel="1" x14ac:dyDescent="0.25">
      <c r="A140" s="309"/>
      <c r="B140" s="231" t="s">
        <v>191</v>
      </c>
      <c r="C140" s="229"/>
      <c r="D140" s="232">
        <f t="shared" ref="D140:AK140" si="625">+D139/D130</f>
        <v>28.525862068965516</v>
      </c>
      <c r="E140" s="232">
        <f t="shared" si="625"/>
        <v>20.550632911392402</v>
      </c>
      <c r="F140" s="232">
        <f t="shared" si="625"/>
        <v>14.300429184549355</v>
      </c>
      <c r="G140" s="323">
        <f t="shared" si="625"/>
        <v>18.655844155844157</v>
      </c>
      <c r="H140" s="230"/>
      <c r="I140" s="323">
        <f t="shared" si="625"/>
        <v>15.414634146341463</v>
      </c>
      <c r="J140" s="323">
        <f t="shared" si="625"/>
        <v>23.791666666666668</v>
      </c>
      <c r="K140" s="323">
        <f>+K139/K130</f>
        <v>16.040609137055842</v>
      </c>
      <c r="L140" s="323">
        <f t="shared" si="625"/>
        <v>21.482047364400309</v>
      </c>
      <c r="M140" s="230"/>
      <c r="N140" s="232">
        <f t="shared" si="625"/>
        <v>14.360718870346604</v>
      </c>
      <c r="O140" s="232">
        <f t="shared" si="625"/>
        <v>21.475694444444446</v>
      </c>
      <c r="P140" s="232">
        <f t="shared" si="625"/>
        <v>12.315052491924321</v>
      </c>
      <c r="Q140" s="323">
        <f t="shared" si="625"/>
        <v>17.680671183762765</v>
      </c>
      <c r="R140" s="230"/>
      <c r="S140" s="232">
        <f t="shared" si="625"/>
        <v>12.50694272231299</v>
      </c>
      <c r="T140" s="232">
        <f t="shared" si="625"/>
        <v>19.119316420341811</v>
      </c>
      <c r="U140" s="232">
        <f t="shared" si="625"/>
        <v>11.058175084214534</v>
      </c>
      <c r="V140" s="323">
        <f t="shared" si="625"/>
        <v>16.590505178896723</v>
      </c>
      <c r="W140" s="230"/>
      <c r="X140" s="232">
        <f t="shared" si="625"/>
        <v>11.238107533658717</v>
      </c>
      <c r="Y140" s="232">
        <f t="shared" si="625"/>
        <v>17.319067165980762</v>
      </c>
      <c r="Z140" s="232">
        <f t="shared" si="625"/>
        <v>10.061123124828629</v>
      </c>
      <c r="AA140" s="323">
        <f t="shared" si="625"/>
        <v>15.144743409545029</v>
      </c>
      <c r="AB140" s="230"/>
      <c r="AC140" s="232">
        <f t="shared" si="625"/>
        <v>10.189941521512852</v>
      </c>
      <c r="AD140" s="232">
        <f t="shared" si="625"/>
        <v>15.739681944535388</v>
      </c>
      <c r="AE140" s="232">
        <f t="shared" si="625"/>
        <v>9.1511066038610647</v>
      </c>
      <c r="AF140" s="323">
        <f t="shared" si="625"/>
        <v>13.773843235106995</v>
      </c>
      <c r="AG140" s="230"/>
      <c r="AH140" s="232">
        <f t="shared" si="625"/>
        <v>9.2589934937633753</v>
      </c>
      <c r="AI140" s="232">
        <f t="shared" si="625"/>
        <v>14.309250170802065</v>
      </c>
      <c r="AJ140" s="232">
        <f t="shared" si="625"/>
        <v>8.3201644956940619</v>
      </c>
      <c r="AK140" s="323">
        <f t="shared" si="625"/>
        <v>12.521929005701587</v>
      </c>
      <c r="AL140" s="230"/>
    </row>
    <row r="141" spans="1:38" ht="18" x14ac:dyDescent="0.4">
      <c r="A141" s="293"/>
      <c r="B141" s="512" t="s">
        <v>102</v>
      </c>
      <c r="C141" s="513"/>
      <c r="D141" s="35" t="s">
        <v>123</v>
      </c>
      <c r="E141" s="35" t="s">
        <v>281</v>
      </c>
      <c r="F141" s="35" t="s">
        <v>285</v>
      </c>
      <c r="G141" s="35" t="s">
        <v>295</v>
      </c>
      <c r="H141" s="102" t="s">
        <v>296</v>
      </c>
      <c r="I141" s="35" t="s">
        <v>297</v>
      </c>
      <c r="J141" s="35" t="s">
        <v>298</v>
      </c>
      <c r="K141" s="35" t="s">
        <v>299</v>
      </c>
      <c r="L141" s="33" t="s">
        <v>141</v>
      </c>
      <c r="M141" s="105" t="s">
        <v>142</v>
      </c>
      <c r="N141" s="33" t="s">
        <v>143</v>
      </c>
      <c r="O141" s="33" t="s">
        <v>144</v>
      </c>
      <c r="P141" s="33" t="s">
        <v>145</v>
      </c>
      <c r="Q141" s="33" t="s">
        <v>146</v>
      </c>
      <c r="R141" s="105" t="s">
        <v>147</v>
      </c>
      <c r="S141" s="33" t="s">
        <v>148</v>
      </c>
      <c r="T141" s="33" t="s">
        <v>149</v>
      </c>
      <c r="U141" s="33" t="s">
        <v>150</v>
      </c>
      <c r="V141" s="33" t="s">
        <v>151</v>
      </c>
      <c r="W141" s="105" t="s">
        <v>152</v>
      </c>
      <c r="X141" s="33" t="s">
        <v>153</v>
      </c>
      <c r="Y141" s="33" t="s">
        <v>154</v>
      </c>
      <c r="Z141" s="33" t="s">
        <v>155</v>
      </c>
      <c r="AA141" s="33" t="s">
        <v>156</v>
      </c>
      <c r="AB141" s="105" t="s">
        <v>157</v>
      </c>
      <c r="AC141" s="33" t="s">
        <v>290</v>
      </c>
      <c r="AD141" s="33" t="s">
        <v>291</v>
      </c>
      <c r="AE141" s="33" t="s">
        <v>292</v>
      </c>
      <c r="AF141" s="33" t="s">
        <v>293</v>
      </c>
      <c r="AG141" s="105" t="s">
        <v>294</v>
      </c>
      <c r="AH141" s="33" t="s">
        <v>323</v>
      </c>
      <c r="AI141" s="33" t="s">
        <v>324</v>
      </c>
      <c r="AJ141" s="33" t="s">
        <v>325</v>
      </c>
      <c r="AK141" s="33" t="s">
        <v>326</v>
      </c>
      <c r="AL141" s="105" t="s">
        <v>327</v>
      </c>
    </row>
    <row r="142" spans="1:38" s="236" customFormat="1" ht="15.6" customHeight="1" outlineLevel="1" x14ac:dyDescent="0.25">
      <c r="A142" s="390"/>
      <c r="B142" s="205" t="s">
        <v>200</v>
      </c>
      <c r="C142" s="237"/>
      <c r="D142" s="207">
        <f>+D57+D90-D14</f>
        <v>0</v>
      </c>
      <c r="E142" s="207">
        <f t="shared" ref="E142:G142" si="626">+E57+E90-E14</f>
        <v>0</v>
      </c>
      <c r="F142" s="332">
        <f t="shared" si="626"/>
        <v>0</v>
      </c>
      <c r="G142" s="207">
        <f t="shared" si="626"/>
        <v>0</v>
      </c>
      <c r="H142" s="209"/>
      <c r="I142" s="207">
        <f>+I57+I90-I14</f>
        <v>0</v>
      </c>
      <c r="J142" s="207">
        <f t="shared" ref="J142:L142" si="627">+J57+J90-J14</f>
        <v>0</v>
      </c>
      <c r="K142" s="332">
        <f>+K57+K90-K14</f>
        <v>0</v>
      </c>
      <c r="L142" s="207">
        <f t="shared" si="627"/>
        <v>0</v>
      </c>
      <c r="M142" s="209"/>
      <c r="N142" s="207">
        <f>+N57+N90-N14</f>
        <v>0</v>
      </c>
      <c r="O142" s="207">
        <f t="shared" ref="O142" si="628">+O57+O90-O14</f>
        <v>0</v>
      </c>
      <c r="P142" s="332">
        <f>+P57+P90-P14</f>
        <v>0</v>
      </c>
      <c r="Q142" s="207">
        <f t="shared" ref="Q142" si="629">+Q57+Q90-Q14</f>
        <v>0</v>
      </c>
      <c r="R142" s="209"/>
      <c r="S142" s="207">
        <f>+S57+S90-S14</f>
        <v>0</v>
      </c>
      <c r="T142" s="207">
        <f t="shared" ref="T142" si="630">+T57+T90-T14</f>
        <v>0</v>
      </c>
      <c r="U142" s="332">
        <f>+U57+U90-U14</f>
        <v>0</v>
      </c>
      <c r="V142" s="207">
        <f t="shared" ref="V142" si="631">+V57+V90-V14</f>
        <v>0</v>
      </c>
      <c r="W142" s="209"/>
      <c r="X142" s="207">
        <f>+X57+X90-X14</f>
        <v>0</v>
      </c>
      <c r="Y142" s="207">
        <f t="shared" ref="Y142" si="632">+Y57+Y90-Y14</f>
        <v>0</v>
      </c>
      <c r="Z142" s="332">
        <f>+Z57+Z90-Z14</f>
        <v>0</v>
      </c>
      <c r="AA142" s="207">
        <f t="shared" ref="AA142" si="633">+AA57+AA90-AA14</f>
        <v>0</v>
      </c>
      <c r="AB142" s="209"/>
      <c r="AC142" s="207">
        <f>+AC57+AC90-AC14</f>
        <v>0</v>
      </c>
      <c r="AD142" s="207">
        <f t="shared" ref="AD142" si="634">+AD57+AD90-AD14</f>
        <v>0</v>
      </c>
      <c r="AE142" s="332">
        <f>+AE57+AE90-AE14</f>
        <v>0</v>
      </c>
      <c r="AF142" s="207">
        <f t="shared" ref="AF142" si="635">+AF57+AF90-AF14</f>
        <v>0</v>
      </c>
      <c r="AG142" s="209"/>
      <c r="AH142" s="207">
        <f>+AH57+AH90-AH14</f>
        <v>0</v>
      </c>
      <c r="AI142" s="207">
        <f t="shared" ref="AI142" si="636">+AI57+AI90-AI14</f>
        <v>0</v>
      </c>
      <c r="AJ142" s="332">
        <f>+AJ57+AJ90-AJ14</f>
        <v>0</v>
      </c>
      <c r="AK142" s="207">
        <f t="shared" ref="AK142" si="637">+AK57+AK90-AK14</f>
        <v>0</v>
      </c>
      <c r="AL142" s="209"/>
    </row>
    <row r="143" spans="1:38" s="236" customFormat="1" ht="15.6" customHeight="1" outlineLevel="1" x14ac:dyDescent="0.25">
      <c r="A143" s="390"/>
      <c r="B143" s="205" t="s">
        <v>201</v>
      </c>
      <c r="C143" s="237"/>
      <c r="D143" s="207">
        <f>+D64+D97-D15</f>
        <v>0</v>
      </c>
      <c r="E143" s="207">
        <f t="shared" ref="E143:G143" si="638">+E64+E97-E15</f>
        <v>0</v>
      </c>
      <c r="F143" s="332">
        <f t="shared" si="638"/>
        <v>0</v>
      </c>
      <c r="G143" s="207">
        <f t="shared" si="638"/>
        <v>0</v>
      </c>
      <c r="H143" s="209"/>
      <c r="I143" s="207">
        <f>+I64+I97-I15</f>
        <v>0</v>
      </c>
      <c r="J143" s="207">
        <f t="shared" ref="J143:L143" si="639">+J64+J97-J15</f>
        <v>0</v>
      </c>
      <c r="K143" s="332">
        <f t="shared" si="639"/>
        <v>0</v>
      </c>
      <c r="L143" s="207">
        <f t="shared" si="639"/>
        <v>0</v>
      </c>
      <c r="M143" s="209"/>
      <c r="N143" s="207">
        <f>+N64+N97-N15</f>
        <v>0</v>
      </c>
      <c r="O143" s="207">
        <f t="shared" ref="O143:Q143" si="640">+O64+O97-O15</f>
        <v>0</v>
      </c>
      <c r="P143" s="332">
        <f t="shared" si="640"/>
        <v>0</v>
      </c>
      <c r="Q143" s="207">
        <f t="shared" si="640"/>
        <v>0</v>
      </c>
      <c r="R143" s="209"/>
      <c r="S143" s="207">
        <f>+S64+S97-S15</f>
        <v>0</v>
      </c>
      <c r="T143" s="207">
        <f t="shared" ref="T143:V143" si="641">+T64+T97-T15</f>
        <v>0</v>
      </c>
      <c r="U143" s="332">
        <f t="shared" si="641"/>
        <v>0</v>
      </c>
      <c r="V143" s="207">
        <f t="shared" si="641"/>
        <v>0</v>
      </c>
      <c r="W143" s="209"/>
      <c r="X143" s="207">
        <f>+X64+X97-X15</f>
        <v>0</v>
      </c>
      <c r="Y143" s="207">
        <f t="shared" ref="Y143:AA143" si="642">+Y64+Y97-Y15</f>
        <v>0</v>
      </c>
      <c r="Z143" s="332">
        <f t="shared" si="642"/>
        <v>0</v>
      </c>
      <c r="AA143" s="207">
        <f t="shared" si="642"/>
        <v>0</v>
      </c>
      <c r="AB143" s="209"/>
      <c r="AC143" s="207">
        <f>+AC64+AC97-AC15</f>
        <v>0</v>
      </c>
      <c r="AD143" s="207">
        <f t="shared" ref="AD143:AF143" si="643">+AD64+AD97-AD15</f>
        <v>0</v>
      </c>
      <c r="AE143" s="332">
        <f t="shared" si="643"/>
        <v>0</v>
      </c>
      <c r="AF143" s="207">
        <f t="shared" si="643"/>
        <v>0</v>
      </c>
      <c r="AG143" s="209"/>
      <c r="AH143" s="207">
        <f>+AH64+AH97-AH15</f>
        <v>0</v>
      </c>
      <c r="AI143" s="207">
        <f t="shared" ref="AI143:AK143" si="644">+AI64+AI97-AI15</f>
        <v>0</v>
      </c>
      <c r="AJ143" s="332">
        <f t="shared" si="644"/>
        <v>0</v>
      </c>
      <c r="AK143" s="207">
        <f t="shared" si="644"/>
        <v>0</v>
      </c>
      <c r="AL143" s="209"/>
    </row>
    <row r="144" spans="1:38" s="236" customFormat="1" ht="15.6" customHeight="1" outlineLevel="1" x14ac:dyDescent="0.25">
      <c r="A144" s="390"/>
      <c r="B144" s="205" t="s">
        <v>202</v>
      </c>
      <c r="C144" s="237"/>
      <c r="D144" s="207">
        <f>+D65+D98+D116+D130-D16</f>
        <v>0</v>
      </c>
      <c r="E144" s="207">
        <f t="shared" ref="E144:G144" si="645">+E65+E98+E116+E130-E16</f>
        <v>0</v>
      </c>
      <c r="F144" s="332">
        <f t="shared" si="645"/>
        <v>0</v>
      </c>
      <c r="G144" s="207">
        <f t="shared" si="645"/>
        <v>0</v>
      </c>
      <c r="H144" s="209"/>
      <c r="I144" s="207">
        <f>+I65+I98+I116+I130-I16</f>
        <v>0</v>
      </c>
      <c r="J144" s="207">
        <f t="shared" ref="J144:L144" si="646">+J65+J98+J116+J130-J16</f>
        <v>0</v>
      </c>
      <c r="K144" s="332">
        <f t="shared" si="646"/>
        <v>0</v>
      </c>
      <c r="L144" s="207">
        <f t="shared" si="646"/>
        <v>0</v>
      </c>
      <c r="M144" s="209"/>
      <c r="N144" s="207">
        <f>+N65+N98+N116+N130-N16</f>
        <v>0</v>
      </c>
      <c r="O144" s="207">
        <f t="shared" ref="O144:Q144" si="647">+O65+O98+O116+O130-O16</f>
        <v>0</v>
      </c>
      <c r="P144" s="332">
        <f t="shared" si="647"/>
        <v>0</v>
      </c>
      <c r="Q144" s="207">
        <f t="shared" si="647"/>
        <v>0</v>
      </c>
      <c r="R144" s="209"/>
      <c r="S144" s="207">
        <f>+S65+S98+S116+S130-S16</f>
        <v>0</v>
      </c>
      <c r="T144" s="207">
        <f t="shared" ref="T144:V144" si="648">+T65+T98+T116+T130-T16</f>
        <v>0</v>
      </c>
      <c r="U144" s="332">
        <f t="shared" si="648"/>
        <v>0</v>
      </c>
      <c r="V144" s="207">
        <f t="shared" si="648"/>
        <v>0</v>
      </c>
      <c r="W144" s="209"/>
      <c r="X144" s="207">
        <f>+X65+X98+X116+X130-X16</f>
        <v>0</v>
      </c>
      <c r="Y144" s="207">
        <f t="shared" ref="Y144:AA144" si="649">+Y65+Y98+Y116+Y130-Y16</f>
        <v>0</v>
      </c>
      <c r="Z144" s="332">
        <f t="shared" si="649"/>
        <v>0</v>
      </c>
      <c r="AA144" s="207">
        <f t="shared" si="649"/>
        <v>0</v>
      </c>
      <c r="AB144" s="209"/>
      <c r="AC144" s="207">
        <f>+AC65+AC98+AC116+AC130-AC16</f>
        <v>0</v>
      </c>
      <c r="AD144" s="207">
        <f t="shared" ref="AD144:AF144" si="650">+AD65+AD98+AD116+AD130-AD16</f>
        <v>0</v>
      </c>
      <c r="AE144" s="332">
        <f t="shared" si="650"/>
        <v>0</v>
      </c>
      <c r="AF144" s="207">
        <f t="shared" si="650"/>
        <v>0</v>
      </c>
      <c r="AG144" s="209"/>
      <c r="AH144" s="207">
        <f>+AH65+AH98+AH116+AH130-AH16</f>
        <v>0</v>
      </c>
      <c r="AI144" s="207">
        <f t="shared" ref="AI144:AK144" si="651">+AI65+AI98+AI116+AI130-AI16</f>
        <v>0</v>
      </c>
      <c r="AJ144" s="332">
        <f t="shared" si="651"/>
        <v>0</v>
      </c>
      <c r="AK144" s="207">
        <f t="shared" si="651"/>
        <v>0</v>
      </c>
      <c r="AL144" s="209"/>
    </row>
    <row r="145" spans="1:38" s="236" customFormat="1" ht="15.6" customHeight="1" outlineLevel="1" x14ac:dyDescent="0.25">
      <c r="A145" s="390"/>
      <c r="B145" s="205" t="s">
        <v>162</v>
      </c>
      <c r="C145" s="237"/>
      <c r="D145" s="207">
        <f>+D124+D110-D25</f>
        <v>0</v>
      </c>
      <c r="E145" s="207">
        <f t="shared" ref="E145:G145" si="652">+E124+E110-E25</f>
        <v>0</v>
      </c>
      <c r="F145" s="332">
        <f t="shared" si="652"/>
        <v>0</v>
      </c>
      <c r="G145" s="207">
        <f t="shared" si="652"/>
        <v>0</v>
      </c>
      <c r="H145" s="209"/>
      <c r="I145" s="207">
        <f>+I124+I110-I25</f>
        <v>0</v>
      </c>
      <c r="J145" s="207">
        <f t="shared" ref="J145:L145" si="653">+J124+J110-J25</f>
        <v>0</v>
      </c>
      <c r="K145" s="332">
        <f t="shared" si="653"/>
        <v>0</v>
      </c>
      <c r="L145" s="207">
        <f t="shared" si="653"/>
        <v>0</v>
      </c>
      <c r="M145" s="209"/>
      <c r="N145" s="207">
        <f>+N124+N110-N25</f>
        <v>0</v>
      </c>
      <c r="O145" s="207">
        <f t="shared" ref="O145:Q145" si="654">+O124+O110-O25</f>
        <v>0</v>
      </c>
      <c r="P145" s="332">
        <f t="shared" si="654"/>
        <v>0</v>
      </c>
      <c r="Q145" s="207">
        <f t="shared" si="654"/>
        <v>0</v>
      </c>
      <c r="R145" s="209"/>
      <c r="S145" s="207">
        <f>+S124+S110-S25</f>
        <v>0</v>
      </c>
      <c r="T145" s="207">
        <f t="shared" ref="T145:V145" si="655">+T124+T110-T25</f>
        <v>0</v>
      </c>
      <c r="U145" s="332">
        <f t="shared" si="655"/>
        <v>0</v>
      </c>
      <c r="V145" s="207">
        <f t="shared" si="655"/>
        <v>0</v>
      </c>
      <c r="W145" s="209"/>
      <c r="X145" s="207">
        <f>+X124+X110-X25</f>
        <v>0</v>
      </c>
      <c r="Y145" s="207">
        <f t="shared" ref="Y145:AA145" si="656">+Y124+Y110-Y25</f>
        <v>0</v>
      </c>
      <c r="Z145" s="332">
        <f t="shared" si="656"/>
        <v>0</v>
      </c>
      <c r="AA145" s="207">
        <f t="shared" si="656"/>
        <v>0</v>
      </c>
      <c r="AB145" s="209"/>
      <c r="AC145" s="207">
        <f>+AC124+AC110-AC25</f>
        <v>0</v>
      </c>
      <c r="AD145" s="207">
        <f t="shared" ref="AD145:AF145" si="657">+AD124+AD110-AD25</f>
        <v>0</v>
      </c>
      <c r="AE145" s="332">
        <f t="shared" si="657"/>
        <v>0</v>
      </c>
      <c r="AF145" s="207">
        <f t="shared" si="657"/>
        <v>0</v>
      </c>
      <c r="AG145" s="209"/>
      <c r="AH145" s="207">
        <f>+AH124+AH110-AH25</f>
        <v>0</v>
      </c>
      <c r="AI145" s="207">
        <f t="shared" ref="AI145:AK145" si="658">+AI124+AI110-AI25</f>
        <v>0</v>
      </c>
      <c r="AJ145" s="332">
        <f t="shared" si="658"/>
        <v>0</v>
      </c>
      <c r="AK145" s="207">
        <f t="shared" si="658"/>
        <v>0</v>
      </c>
      <c r="AL145" s="209"/>
    </row>
    <row r="146" spans="1:38" s="236" customFormat="1" ht="15.6" customHeight="1" outlineLevel="1" x14ac:dyDescent="0.25">
      <c r="A146" s="390"/>
      <c r="B146" s="205" t="s">
        <v>203</v>
      </c>
      <c r="C146" s="237"/>
      <c r="D146" s="207">
        <f>+D77+D111+D125+D138-D26</f>
        <v>0</v>
      </c>
      <c r="E146" s="207">
        <f>+E77+E111+E125+E138-E26</f>
        <v>0</v>
      </c>
      <c r="F146" s="332">
        <f>+F77+F111+F125+F138-F26</f>
        <v>0</v>
      </c>
      <c r="G146" s="207">
        <f>+G77+G111+G125+G138-G26</f>
        <v>9.9999999998544808E-2</v>
      </c>
      <c r="H146" s="209"/>
      <c r="I146" s="207">
        <f>+I77+I111+I125+I138-I26</f>
        <v>0</v>
      </c>
      <c r="J146" s="207">
        <f>+J77+J111+J125+J138-J26</f>
        <v>6.8212102632969618E-13</v>
      </c>
      <c r="K146" s="332">
        <f>+K77+K111+K125+K138-K26</f>
        <v>0</v>
      </c>
      <c r="L146" s="207">
        <f>+L77+L111+L125+L138-L26</f>
        <v>9.0949470177292824E-13</v>
      </c>
      <c r="M146" s="209"/>
      <c r="N146" s="207">
        <f>+N77+N111+N125+N138-N26</f>
        <v>-2.2737367544323206E-12</v>
      </c>
      <c r="O146" s="207">
        <f>+O77+O111+O125+O138-O26</f>
        <v>0</v>
      </c>
      <c r="P146" s="332">
        <f>+P77+P111+P125+P138-P26</f>
        <v>0</v>
      </c>
      <c r="Q146" s="207">
        <f>+Q77+Q111+Q125+Q138-Q26</f>
        <v>0</v>
      </c>
      <c r="R146" s="209"/>
      <c r="S146" s="207">
        <f>+S77+S111+S125+S138-S26</f>
        <v>0</v>
      </c>
      <c r="T146" s="207">
        <f>+T77+T111+T125+T138-T26</f>
        <v>0</v>
      </c>
      <c r="U146" s="332">
        <f>+U77+U111+U125+U138-U26</f>
        <v>0</v>
      </c>
      <c r="V146" s="207">
        <f>+V77+V111+V125+V138-V26</f>
        <v>0</v>
      </c>
      <c r="W146" s="209"/>
      <c r="X146" s="207">
        <f>+X77+X111+X125+X138-X26</f>
        <v>0</v>
      </c>
      <c r="Y146" s="207">
        <f>+Y77+Y111+Y125+Y138-Y26</f>
        <v>0</v>
      </c>
      <c r="Z146" s="332">
        <f>+Z77+Z111+Z125+Z138-Z26</f>
        <v>0</v>
      </c>
      <c r="AA146" s="207">
        <f>+AA77+AA111+AA125+AA138-AA26</f>
        <v>0</v>
      </c>
      <c r="AB146" s="209"/>
      <c r="AC146" s="207">
        <f>+AC77+AC111+AC125+AC138-AC26</f>
        <v>0</v>
      </c>
      <c r="AD146" s="207">
        <f>+AD77+AD111+AD125+AD138-AD26</f>
        <v>0</v>
      </c>
      <c r="AE146" s="332">
        <f>+AE77+AE111+AE125+AE138-AE26</f>
        <v>0</v>
      </c>
      <c r="AF146" s="207">
        <f>+AF77+AF111+AF125+AF138-AF26</f>
        <v>0</v>
      </c>
      <c r="AG146" s="209"/>
      <c r="AH146" s="207">
        <f>+AH77+AH111+AH125+AH138-AH26</f>
        <v>0</v>
      </c>
      <c r="AI146" s="207">
        <f>+AI77+AI111+AI125+AI138-AI26</f>
        <v>0</v>
      </c>
      <c r="AJ146" s="332">
        <f>+AJ77+AJ111+AJ125+AJ138-AJ26</f>
        <v>0</v>
      </c>
      <c r="AK146" s="207">
        <f>+AK77+AK111+AK125+AK138-AK26</f>
        <v>0</v>
      </c>
      <c r="AL146" s="209"/>
    </row>
    <row r="147" spans="1:38" ht="15" customHeight="1" x14ac:dyDescent="0.4">
      <c r="A147" s="293"/>
      <c r="B147" s="512" t="s">
        <v>58</v>
      </c>
      <c r="C147" s="513"/>
      <c r="D147" s="35" t="s">
        <v>123</v>
      </c>
      <c r="E147" s="35" t="s">
        <v>281</v>
      </c>
      <c r="F147" s="35" t="s">
        <v>285</v>
      </c>
      <c r="G147" s="35" t="s">
        <v>295</v>
      </c>
      <c r="H147" s="102" t="s">
        <v>296</v>
      </c>
      <c r="I147" s="35" t="s">
        <v>297</v>
      </c>
      <c r="J147" s="35" t="s">
        <v>298</v>
      </c>
      <c r="K147" s="35" t="s">
        <v>299</v>
      </c>
      <c r="L147" s="33" t="s">
        <v>141</v>
      </c>
      <c r="M147" s="105" t="s">
        <v>142</v>
      </c>
      <c r="N147" s="33" t="s">
        <v>143</v>
      </c>
      <c r="O147" s="33" t="s">
        <v>144</v>
      </c>
      <c r="P147" s="33" t="s">
        <v>145</v>
      </c>
      <c r="Q147" s="33" t="s">
        <v>146</v>
      </c>
      <c r="R147" s="105" t="s">
        <v>147</v>
      </c>
      <c r="S147" s="33" t="s">
        <v>148</v>
      </c>
      <c r="T147" s="33" t="s">
        <v>149</v>
      </c>
      <c r="U147" s="33" t="s">
        <v>150</v>
      </c>
      <c r="V147" s="33" t="s">
        <v>151</v>
      </c>
      <c r="W147" s="105" t="s">
        <v>152</v>
      </c>
      <c r="X147" s="33" t="s">
        <v>153</v>
      </c>
      <c r="Y147" s="33" t="s">
        <v>154</v>
      </c>
      <c r="Z147" s="33" t="s">
        <v>155</v>
      </c>
      <c r="AA147" s="33" t="s">
        <v>156</v>
      </c>
      <c r="AB147" s="105" t="s">
        <v>157</v>
      </c>
      <c r="AC147" s="33" t="s">
        <v>290</v>
      </c>
      <c r="AD147" s="33" t="s">
        <v>291</v>
      </c>
      <c r="AE147" s="33" t="s">
        <v>292</v>
      </c>
      <c r="AF147" s="33" t="s">
        <v>293</v>
      </c>
      <c r="AG147" s="105" t="s">
        <v>294</v>
      </c>
      <c r="AH147" s="33" t="s">
        <v>323</v>
      </c>
      <c r="AI147" s="33" t="s">
        <v>324</v>
      </c>
      <c r="AJ147" s="33" t="s">
        <v>325</v>
      </c>
      <c r="AK147" s="33" t="s">
        <v>326</v>
      </c>
      <c r="AL147" s="105" t="s">
        <v>327</v>
      </c>
    </row>
    <row r="148" spans="1:38" s="46" customFormat="1" outlineLevel="1" x14ac:dyDescent="0.25">
      <c r="A148" s="359"/>
      <c r="B148" s="510" t="s">
        <v>119</v>
      </c>
      <c r="C148" s="511"/>
      <c r="D148" s="63"/>
      <c r="E148" s="63"/>
      <c r="F148" s="63"/>
      <c r="G148" s="63"/>
      <c r="H148" s="391"/>
      <c r="I148" s="63">
        <f t="shared" ref="I148:AL148" si="659">I17/D17-1</f>
        <v>7.0016735266180907E-2</v>
      </c>
      <c r="J148" s="63">
        <f t="shared" si="659"/>
        <v>-4.9192026514851106E-2</v>
      </c>
      <c r="K148" s="63">
        <f t="shared" si="659"/>
        <v>-0.38119595485856661</v>
      </c>
      <c r="L148" s="417">
        <f t="shared" si="659"/>
        <v>-0.10929223358529738</v>
      </c>
      <c r="M148" s="425">
        <f t="shared" si="659"/>
        <v>-0.12011553609017456</v>
      </c>
      <c r="N148" s="63">
        <f t="shared" si="659"/>
        <v>-2.0085020630348449E-2</v>
      </c>
      <c r="O148" s="63">
        <f t="shared" si="659"/>
        <v>0.12878276861098525</v>
      </c>
      <c r="P148" s="63">
        <f t="shared" si="659"/>
        <v>0.64504492288752213</v>
      </c>
      <c r="Q148" s="63">
        <f t="shared" si="659"/>
        <v>0.2002133611030783</v>
      </c>
      <c r="R148" s="61">
        <f t="shared" si="659"/>
        <v>0.19534154453361618</v>
      </c>
      <c r="S148" s="63">
        <f t="shared" si="659"/>
        <v>0.13003470356177593</v>
      </c>
      <c r="T148" s="63">
        <f t="shared" si="659"/>
        <v>6.0967141452880291E-2</v>
      </c>
      <c r="U148" s="63">
        <f t="shared" si="659"/>
        <v>5.8152360544475368E-2</v>
      </c>
      <c r="V148" s="63">
        <f t="shared" si="659"/>
        <v>6.0056915697485502E-2</v>
      </c>
      <c r="W148" s="61">
        <f t="shared" si="659"/>
        <v>7.7258620678262613E-2</v>
      </c>
      <c r="X148" s="63">
        <f t="shared" si="659"/>
        <v>6.4879687625681415E-2</v>
      </c>
      <c r="Y148" s="63">
        <f t="shared" si="659"/>
        <v>6.4041841183034798E-2</v>
      </c>
      <c r="Z148" s="63">
        <f t="shared" si="659"/>
        <v>6.5183602469119695E-2</v>
      </c>
      <c r="AA148" s="63">
        <f t="shared" si="659"/>
        <v>6.6343253294838256E-2</v>
      </c>
      <c r="AB148" s="61">
        <f t="shared" si="659"/>
        <v>6.5126331301126772E-2</v>
      </c>
      <c r="AC148" s="463">
        <f>AC17/X17-1</f>
        <v>6.5830075675160193E-2</v>
      </c>
      <c r="AD148" s="463">
        <f t="shared" si="659"/>
        <v>6.5409189730479156E-2</v>
      </c>
      <c r="AE148" s="463">
        <f t="shared" si="659"/>
        <v>6.6817564884819936E-2</v>
      </c>
      <c r="AF148" s="463">
        <f t="shared" si="659"/>
        <v>6.7369510340850924E-2</v>
      </c>
      <c r="AG148" s="464">
        <f t="shared" si="659"/>
        <v>6.6363549097109953E-2</v>
      </c>
      <c r="AH148" s="463">
        <f t="shared" si="659"/>
        <v>6.8850257555918892E-2</v>
      </c>
      <c r="AI148" s="463">
        <f t="shared" si="659"/>
        <v>6.8185343663156539E-2</v>
      </c>
      <c r="AJ148" s="463">
        <f t="shared" si="659"/>
        <v>6.9546223291405029E-2</v>
      </c>
      <c r="AK148" s="463">
        <f t="shared" si="659"/>
        <v>6.9917722816118522E-2</v>
      </c>
      <c r="AL148" s="464">
        <f t="shared" si="659"/>
        <v>6.9134295489481801E-2</v>
      </c>
    </row>
    <row r="149" spans="1:38" s="46" customFormat="1" outlineLevel="1" x14ac:dyDescent="0.25">
      <c r="A149" s="359"/>
      <c r="B149" s="510" t="s">
        <v>24</v>
      </c>
      <c r="C149" s="511"/>
      <c r="D149" s="60">
        <f t="shared" ref="D149:AL149" si="660">D26/D17</f>
        <v>0.15313522396610738</v>
      </c>
      <c r="E149" s="60">
        <f t="shared" si="660"/>
        <v>0.13601547756862614</v>
      </c>
      <c r="F149" s="60">
        <f t="shared" si="660"/>
        <v>0.16434119888612064</v>
      </c>
      <c r="G149" s="60">
        <f t="shared" si="660"/>
        <v>0.16054542759745088</v>
      </c>
      <c r="H149" s="62">
        <f t="shared" si="660"/>
        <v>0.15383309567461143</v>
      </c>
      <c r="I149" s="60">
        <f t="shared" si="660"/>
        <v>0.1718730185568752</v>
      </c>
      <c r="J149" s="60">
        <f t="shared" si="660"/>
        <v>8.1291592307820446E-2</v>
      </c>
      <c r="K149" s="60">
        <f t="shared" si="660"/>
        <v>-0.16671798394164022</v>
      </c>
      <c r="L149" s="60">
        <f t="shared" si="660"/>
        <v>7.9227485148621005E-2</v>
      </c>
      <c r="M149" s="62">
        <f t="shared" si="660"/>
        <v>6.3427965379176818E-2</v>
      </c>
      <c r="N149" s="60">
        <f t="shared" si="660"/>
        <v>0.15768051790931778</v>
      </c>
      <c r="O149" s="60">
        <f t="shared" si="660"/>
        <v>0.16490593088620054</v>
      </c>
      <c r="P149" s="60">
        <f t="shared" si="660"/>
        <v>0.16252930948852817</v>
      </c>
      <c r="Q149" s="60">
        <f t="shared" si="660"/>
        <v>0.17610625946475908</v>
      </c>
      <c r="R149" s="62">
        <f t="shared" si="660"/>
        <v>0.16540912280117376</v>
      </c>
      <c r="S149" s="60">
        <f t="shared" si="660"/>
        <v>0.17820040071272369</v>
      </c>
      <c r="T149" s="60">
        <f t="shared" si="660"/>
        <v>0.17017539305561788</v>
      </c>
      <c r="U149" s="60">
        <f t="shared" si="660"/>
        <v>0.179198127731416</v>
      </c>
      <c r="V149" s="60">
        <f t="shared" si="660"/>
        <v>0.18302522600105961</v>
      </c>
      <c r="W149" s="62">
        <f t="shared" si="660"/>
        <v>0.17775425311477749</v>
      </c>
      <c r="X149" s="60">
        <f t="shared" si="660"/>
        <v>0.18955478029327266</v>
      </c>
      <c r="Y149" s="60">
        <f t="shared" si="660"/>
        <v>0.17949438049855274</v>
      </c>
      <c r="Z149" s="60">
        <f t="shared" si="660"/>
        <v>0.186775014345827</v>
      </c>
      <c r="AA149" s="60">
        <f t="shared" si="660"/>
        <v>0.19080164595838839</v>
      </c>
      <c r="AB149" s="62">
        <f t="shared" si="660"/>
        <v>0.18678961402441382</v>
      </c>
      <c r="AC149" s="60">
        <f t="shared" si="660"/>
        <v>0.20087889824108648</v>
      </c>
      <c r="AD149" s="60">
        <f t="shared" si="660"/>
        <v>0.19122259048143611</v>
      </c>
      <c r="AE149" s="60">
        <f t="shared" si="660"/>
        <v>0.19462626086749105</v>
      </c>
      <c r="AF149" s="60">
        <f t="shared" si="660"/>
        <v>0.20185069868748629</v>
      </c>
      <c r="AG149" s="62">
        <f t="shared" si="660"/>
        <v>0.19729193332347972</v>
      </c>
      <c r="AH149" s="60">
        <f t="shared" si="660"/>
        <v>0.20796354513292856</v>
      </c>
      <c r="AI149" s="60">
        <f t="shared" si="660"/>
        <v>0.19856693196301603</v>
      </c>
      <c r="AJ149" s="60">
        <f t="shared" si="660"/>
        <v>0.20174488569974544</v>
      </c>
      <c r="AK149" s="60">
        <f t="shared" si="660"/>
        <v>0.20520340665481471</v>
      </c>
      <c r="AL149" s="62">
        <f t="shared" si="660"/>
        <v>0.20349572635226687</v>
      </c>
    </row>
    <row r="150" spans="1:38" s="46" customFormat="1" outlineLevel="1" x14ac:dyDescent="0.25">
      <c r="A150" s="359"/>
      <c r="B150" s="510" t="s">
        <v>247</v>
      </c>
      <c r="C150" s="511"/>
      <c r="D150" s="60">
        <f t="shared" ref="D150:AL150" si="661">+D28/D17</f>
        <v>0.17394123056975294</v>
      </c>
      <c r="E150" s="60">
        <f t="shared" si="661"/>
        <v>0.15843892227913536</v>
      </c>
      <c r="F150" s="60">
        <f t="shared" si="661"/>
        <v>0.18270555474131628</v>
      </c>
      <c r="G150" s="60">
        <f t="shared" si="661"/>
        <v>0.17201719282644154</v>
      </c>
      <c r="H150" s="62">
        <f t="shared" si="661"/>
        <v>0.17201964645435841</v>
      </c>
      <c r="I150" s="60">
        <f t="shared" si="661"/>
        <v>0.1819616463062376</v>
      </c>
      <c r="J150" s="60">
        <f t="shared" si="661"/>
        <v>9.2432910252347358E-2</v>
      </c>
      <c r="K150" s="60">
        <f t="shared" si="661"/>
        <v>-0.12558205632268285</v>
      </c>
      <c r="L150" s="60">
        <f t="shared" si="661"/>
        <v>0.1103509933763577</v>
      </c>
      <c r="M150" s="62">
        <f t="shared" si="661"/>
        <v>8.4826918693740788E-2</v>
      </c>
      <c r="N150" s="60">
        <f t="shared" si="661"/>
        <v>0.17531680190635654</v>
      </c>
      <c r="O150" s="60">
        <f t="shared" si="661"/>
        <v>0.18274530234495465</v>
      </c>
      <c r="P150" s="60">
        <f t="shared" si="661"/>
        <v>0.17954033374219927</v>
      </c>
      <c r="Q150" s="60">
        <f t="shared" si="661"/>
        <v>0.17881642223480926</v>
      </c>
      <c r="R150" s="62">
        <f t="shared" si="661"/>
        <v>0.17907752359652529</v>
      </c>
      <c r="S150" s="60">
        <f t="shared" si="661"/>
        <v>0.19375467744295613</v>
      </c>
      <c r="T150" s="60">
        <f t="shared" si="661"/>
        <v>0.18808082731505213</v>
      </c>
      <c r="U150" s="60">
        <f t="shared" si="661"/>
        <v>0.19774244067197222</v>
      </c>
      <c r="V150" s="60">
        <f t="shared" si="661"/>
        <v>0.20023905028951955</v>
      </c>
      <c r="W150" s="62">
        <f t="shared" si="661"/>
        <v>0.19502475270964237</v>
      </c>
      <c r="X150" s="60">
        <f t="shared" si="661"/>
        <v>0.20445407487279485</v>
      </c>
      <c r="Y150" s="60">
        <f t="shared" si="661"/>
        <v>0.1958475558066135</v>
      </c>
      <c r="Z150" s="60">
        <f t="shared" si="661"/>
        <v>0.20280226703614035</v>
      </c>
      <c r="AA150" s="60">
        <f t="shared" si="661"/>
        <v>0.20630274491067907</v>
      </c>
      <c r="AB150" s="62">
        <f t="shared" si="661"/>
        <v>0.20246553687386029</v>
      </c>
      <c r="AC150" s="60">
        <f t="shared" si="661"/>
        <v>0.21517594509296614</v>
      </c>
      <c r="AD150" s="60">
        <f t="shared" si="661"/>
        <v>0.20697013947896842</v>
      </c>
      <c r="AE150" s="60">
        <f t="shared" si="661"/>
        <v>0.20996920960135967</v>
      </c>
      <c r="AF150" s="60">
        <f t="shared" si="661"/>
        <v>0.2164578288475752</v>
      </c>
      <c r="AG150" s="62">
        <f t="shared" si="661"/>
        <v>0.2122702463658003</v>
      </c>
      <c r="AH150" s="60">
        <f t="shared" si="661"/>
        <v>0.22123806385747002</v>
      </c>
      <c r="AI150" s="60">
        <f t="shared" si="661"/>
        <v>0.21314875545941772</v>
      </c>
      <c r="AJ150" s="60">
        <f t="shared" si="661"/>
        <v>0.21596513431485068</v>
      </c>
      <c r="AK150" s="60">
        <f t="shared" si="661"/>
        <v>0.21886630095342813</v>
      </c>
      <c r="AL150" s="62">
        <f t="shared" si="661"/>
        <v>0.21741267617914251</v>
      </c>
    </row>
    <row r="151" spans="1:38" s="46" customFormat="1" outlineLevel="1" x14ac:dyDescent="0.25">
      <c r="A151" s="359"/>
      <c r="B151" s="510" t="s">
        <v>2</v>
      </c>
      <c r="C151" s="511"/>
      <c r="D151" s="60">
        <f t="shared" ref="D151:K151" si="662">D33/D32</f>
        <v>0.2124287933713101</v>
      </c>
      <c r="E151" s="60">
        <f t="shared" si="662"/>
        <v>0.1965853658536586</v>
      </c>
      <c r="F151" s="60">
        <f t="shared" si="662"/>
        <v>0.18110799689903978</v>
      </c>
      <c r="G151" s="327">
        <f t="shared" si="662"/>
        <v>0.20083682008368189</v>
      </c>
      <c r="H151" s="391">
        <f t="shared" si="662"/>
        <v>0.19515471765706843</v>
      </c>
      <c r="I151" s="327">
        <f t="shared" si="662"/>
        <v>0.22600104913446431</v>
      </c>
      <c r="J151" s="327">
        <f t="shared" si="662"/>
        <v>0.16760635571501836</v>
      </c>
      <c r="K151" s="327">
        <f t="shared" si="662"/>
        <v>0.16490147783251249</v>
      </c>
      <c r="L151" s="419">
        <v>0.25</v>
      </c>
      <c r="M151" s="62">
        <f>M33/M32</f>
        <v>0.25882794548527899</v>
      </c>
      <c r="N151" s="71">
        <v>0.25</v>
      </c>
      <c r="O151" s="71">
        <v>0.25</v>
      </c>
      <c r="P151" s="71">
        <v>0.25</v>
      </c>
      <c r="Q151" s="71">
        <v>0.25</v>
      </c>
      <c r="R151" s="62">
        <f>R33/R32</f>
        <v>0.25000000000000006</v>
      </c>
      <c r="S151" s="71">
        <f>AVERAGE(N151,O151,P151,Q151)-0.165057231271624%</f>
        <v>0.24834942768728377</v>
      </c>
      <c r="T151" s="71">
        <f>AVERAGE(O151,P151,Q151,S151)-0.165057231271624%</f>
        <v>0.2479367846091047</v>
      </c>
      <c r="U151" s="71">
        <f>AVERAGE(P151,Q151,S151,T151)-0.165057231271624%</f>
        <v>0.24742098076138089</v>
      </c>
      <c r="V151" s="71">
        <f>AVERAGE(Q151,S151,T151,U151)-0.165057231271624%</f>
        <v>0.2467762259517261</v>
      </c>
      <c r="W151" s="62">
        <f>W33/W32</f>
        <v>0.2476118779357967</v>
      </c>
      <c r="X151" s="71">
        <f>AVERAGE(S151,T151,U151,V151)</f>
        <v>0.24762085475237386</v>
      </c>
      <c r="Y151" s="71">
        <f>AVERAGE(T151,U151,V151,X151)</f>
        <v>0.24743871151864638</v>
      </c>
      <c r="Z151" s="71">
        <f>AVERAGE(U151,V151,X151,Y151)</f>
        <v>0.24731419324603179</v>
      </c>
      <c r="AA151" s="71">
        <f>AVERAGE(V151,X151,Y151,Z151)</f>
        <v>0.24728749636719452</v>
      </c>
      <c r="AB151" s="62">
        <f>AB33/AB32</f>
        <v>0.24741712799881893</v>
      </c>
      <c r="AC151" s="71">
        <f>AVERAGE(X151,Y151,Z151,AA151)</f>
        <v>0.24741531397106162</v>
      </c>
      <c r="AD151" s="71">
        <f>AVERAGE(Y151,Z151,AA151,AC151)</f>
        <v>0.24736392877573357</v>
      </c>
      <c r="AE151" s="71">
        <f>AVERAGE(Z151,AA151,AC151,AD151)</f>
        <v>0.24734523309000536</v>
      </c>
      <c r="AF151" s="71">
        <f>AVERAGE(AA151,AC151,AD151,AE151)</f>
        <v>0.24735299305099875</v>
      </c>
      <c r="AG151" s="62">
        <f>AG33/AG32</f>
        <v>0.24737023079448153</v>
      </c>
      <c r="AH151" s="71">
        <f>AVERAGE(AC151,AD151,AE151,AF151)</f>
        <v>0.24736936722194983</v>
      </c>
      <c r="AI151" s="71">
        <f>AVERAGE(AD151,AE151,AF151,AH151)</f>
        <v>0.24735788053467186</v>
      </c>
      <c r="AJ151" s="71">
        <f>AVERAGE(AE151,AF151,AH151,AI151)</f>
        <v>0.24735636847440645</v>
      </c>
      <c r="AK151" s="71">
        <f>AVERAGE(AF151,AH151,AI151,AJ151)</f>
        <v>0.24735915232050673</v>
      </c>
      <c r="AL151" s="62">
        <f>AL33/AL32</f>
        <v>0.2473609043546241</v>
      </c>
    </row>
    <row r="152" spans="1:38" s="46" customFormat="1" outlineLevel="1" x14ac:dyDescent="0.25">
      <c r="A152" s="359"/>
      <c r="B152" s="510" t="s">
        <v>248</v>
      </c>
      <c r="C152" s="511"/>
      <c r="D152" s="60"/>
      <c r="E152" s="60">
        <f>+E30/((E185+E186+E191)+(D185+D186+D191)/2)</f>
        <v>3.0327214684756584E-3</v>
      </c>
      <c r="F152" s="60">
        <f>+F30/((F185+F186+F191)+(E185+E186+E191)/2)</f>
        <v>6.4321029136466161E-3</v>
      </c>
      <c r="G152" s="60">
        <f>+G30/((G185+G186+G191)+(F185+F186+F191)/2)</f>
        <v>2.9603261807251862E-3</v>
      </c>
      <c r="H152" s="62"/>
      <c r="I152" s="60">
        <f>+I30/((I185+I186+I191)+(G185+G186+G191)/2)</f>
        <v>3.3143988743550958E-3</v>
      </c>
      <c r="J152" s="60">
        <f t="shared" ref="J152" si="663">+J30/((J185+J186+J191)+(I185+I186+I191)/2)</f>
        <v>4.4659305324505627E-4</v>
      </c>
      <c r="K152" s="60">
        <f>+K30/((K185+K186+K191)+(J185+J186+J191)/2)</f>
        <v>2.1779393606804753E-3</v>
      </c>
      <c r="L152" s="72">
        <f>AVERAGE(K152,J152,I152,G152)</f>
        <v>2.2248143672514535E-3</v>
      </c>
      <c r="M152" s="62">
        <f>+M30/((M185+M186+M191)+(H185+H186+H191)/2)</f>
        <v>7.314015219559284E-3</v>
      </c>
      <c r="N152" s="72">
        <f>AVERAGE(L152,K152,J152,I152)</f>
        <v>2.04093641388302E-3</v>
      </c>
      <c r="O152" s="72">
        <f>AVERAGE(N152,L152,K152,J152)</f>
        <v>1.7225707987650013E-3</v>
      </c>
      <c r="P152" s="72">
        <f>AVERAGE(O152,N152,L152,K152)</f>
        <v>2.0415652351449876E-3</v>
      </c>
      <c r="Q152" s="72">
        <f>AVERAGE(P152,O152,N152,L152)</f>
        <v>2.0074717037611156E-3</v>
      </c>
      <c r="R152" s="62">
        <f>+R30/((R185+R186+R191)+(M185+M186+M191)/2)</f>
        <v>5.7383886633676669E-3</v>
      </c>
      <c r="S152" s="72">
        <f>AVERAGE(Q152,P152,O152,N152)</f>
        <v>1.9531360378885311E-3</v>
      </c>
      <c r="T152" s="72">
        <f>AVERAGE(S152,Q152,P152,O152)</f>
        <v>1.9311859438899091E-3</v>
      </c>
      <c r="U152" s="72">
        <f>AVERAGE(T152,S152,Q152,P152)</f>
        <v>1.983339730171136E-3</v>
      </c>
      <c r="V152" s="72">
        <f>AVERAGE(U152,T152,S152,Q152)</f>
        <v>1.9687833539276728E-3</v>
      </c>
      <c r="W152" s="62">
        <f>+W30/((W185+W186+W191)+(R185+R186+R191)/2)</f>
        <v>5.2398460403542011E-3</v>
      </c>
      <c r="X152" s="72">
        <f>AVERAGE(V152,U152,T152,S152)</f>
        <v>1.9591112664693123E-3</v>
      </c>
      <c r="Y152" s="72">
        <f>AVERAGE(X152,V152,U152,T152)</f>
        <v>1.9606050736145075E-3</v>
      </c>
      <c r="Z152" s="72">
        <f>AVERAGE(Y152,X152,V152,U152)</f>
        <v>1.9679598560456571E-3</v>
      </c>
      <c r="AA152" s="72">
        <f>AVERAGE(Z152,Y152,X152,V152)</f>
        <v>1.9641148875142872E-3</v>
      </c>
      <c r="AB152" s="62">
        <f>+AB30/((AB185+AB186+AB191)+(W185+W186+W191)/2)</f>
        <v>5.0343346101681345E-3</v>
      </c>
      <c r="AC152" s="72">
        <f>AVERAGE(AA152,Z152,Y152,X152)</f>
        <v>1.962947770910941E-3</v>
      </c>
      <c r="AD152" s="72">
        <f>AVERAGE(AC152,AA152,Z152,Y152)</f>
        <v>1.9639068970213483E-3</v>
      </c>
      <c r="AE152" s="72">
        <f>AVERAGE(AD152,AC152,AA152,Z152)</f>
        <v>1.9647323528730583E-3</v>
      </c>
      <c r="AF152" s="72">
        <f>AVERAGE(AE152,AD152,AC152,AA152)</f>
        <v>1.9639254770799086E-3</v>
      </c>
      <c r="AG152" s="62">
        <f>+AG30/((AG185+AG186+AG191)+(AB185+AB186+AB191)/2)</f>
        <v>5.1119393118843615E-3</v>
      </c>
      <c r="AH152" s="72">
        <f>AVERAGE(AF152,AE152,AD152,AC152)</f>
        <v>1.963878124471314E-3</v>
      </c>
      <c r="AI152" s="72">
        <f>AVERAGE(AH152,AF152,AE152,AD152)</f>
        <v>1.9641107128614073E-3</v>
      </c>
      <c r="AJ152" s="72">
        <f>AVERAGE(AI152,AH152,AF152,AE152)</f>
        <v>1.9641616668214217E-3</v>
      </c>
      <c r="AK152" s="72">
        <f>AVERAGE(AJ152,AI152,AH152,AF152)</f>
        <v>1.9640189953085128E-3</v>
      </c>
      <c r="AL152" s="62">
        <f>+AL30/((AL185+AL186+AL191)+(AG185+AG186+AG191)/2)</f>
        <v>5.4712455114751266E-3</v>
      </c>
    </row>
    <row r="153" spans="1:38" s="46" customFormat="1" outlineLevel="1" x14ac:dyDescent="0.25">
      <c r="A153" s="359"/>
      <c r="B153" s="510" t="s">
        <v>249</v>
      </c>
      <c r="C153" s="511"/>
      <c r="D153" s="60"/>
      <c r="E153" s="60">
        <f>-E31/((((E207+E210)+(D207+D210))/2))</f>
        <v>8.0557251242696429E-3</v>
      </c>
      <c r="F153" s="60">
        <f>-F31/((((F207+F210)+(E207+E210))/2))</f>
        <v>8.4807318557490342E-3</v>
      </c>
      <c r="G153" s="60">
        <f>-G31/((((G207+G210)+(F207+F210))/2))</f>
        <v>8.572925858076421E-3</v>
      </c>
      <c r="H153" s="62"/>
      <c r="I153" s="60">
        <f>-I31/((((I207+I210)+(G207+G210))/2))</f>
        <v>8.0554679008449908E-3</v>
      </c>
      <c r="J153" s="60">
        <f t="shared" ref="J153" si="664">-J31/((((J207+J210)+(I207+I210))/2))</f>
        <v>7.730372102084551E-3</v>
      </c>
      <c r="K153" s="60">
        <f>-K31/((((K207+K210)+(J207+J210))/2))</f>
        <v>7.8322294946980078E-3</v>
      </c>
      <c r="L153" s="72">
        <f>K153</f>
        <v>7.8322294946980078E-3</v>
      </c>
      <c r="M153" s="62">
        <f>-M31/((((M207+M210)+(H207+H210))/2))</f>
        <v>3.2199010742146421E-2</v>
      </c>
      <c r="N153" s="72">
        <f>AVERAGE(L153,K153,J153,I153)</f>
        <v>7.8625747480813891E-3</v>
      </c>
      <c r="O153" s="72">
        <f>AVERAGE(N153,L153,K153,J153)</f>
        <v>7.8143514598904892E-3</v>
      </c>
      <c r="P153" s="72">
        <f>AVERAGE(O153,N153,L153,K153)</f>
        <v>7.8353462993419731E-3</v>
      </c>
      <c r="Q153" s="72">
        <f>AVERAGE(P153,O153,N153,L153)</f>
        <v>7.8361255005029648E-3</v>
      </c>
      <c r="R153" s="62">
        <f>-R31/((((R207+R210)+(M207+M210))/2))</f>
        <v>3.1791667995090117E-2</v>
      </c>
      <c r="S153" s="72">
        <f>AVERAGE(Q153,P153,O153,N153)</f>
        <v>7.837099501954204E-3</v>
      </c>
      <c r="T153" s="72">
        <f>AVERAGE(S153,Q153,P153,O153)</f>
        <v>7.8307306904224078E-3</v>
      </c>
      <c r="U153" s="72">
        <f>AVERAGE(T153,S153,Q153,P153)</f>
        <v>7.834825498055387E-3</v>
      </c>
      <c r="V153" s="72">
        <f>AVERAGE(U153,T153,S153,Q153)</f>
        <v>7.8346952977337396E-3</v>
      </c>
      <c r="W153" s="62">
        <f>-W31/((((W207+W210)+(R207+R210))/2))</f>
        <v>3.1614296370415296E-2</v>
      </c>
      <c r="X153" s="72">
        <f>AVERAGE(V153,U153,T153,S153)</f>
        <v>7.8343377470414359E-3</v>
      </c>
      <c r="Y153" s="72">
        <f>AVERAGE(X153,V153,U153,T153)</f>
        <v>7.8336473083132421E-3</v>
      </c>
      <c r="Z153" s="72">
        <f>AVERAGE(Y153,X153,V153,U153)</f>
        <v>7.8343764627859507E-3</v>
      </c>
      <c r="AA153" s="72">
        <f>AVERAGE(Z153,Y153,X153,V153)</f>
        <v>7.8342642039685925E-3</v>
      </c>
      <c r="AB153" s="62">
        <f>-AB31/((((AB207+AB210)+(W207+W210))/2))</f>
        <v>3.1634597260084434E-2</v>
      </c>
      <c r="AC153" s="72">
        <f>AVERAGE(AA153,Z153,Y153,X153)</f>
        <v>7.8341564305273066E-3</v>
      </c>
      <c r="AD153" s="72">
        <f>AVERAGE(AC153,AA153,Z153,Y153)</f>
        <v>7.8341111013987726E-3</v>
      </c>
      <c r="AE153" s="72">
        <f>AVERAGE(AD153,AC153,AA153,Z153)</f>
        <v>7.834227049670156E-3</v>
      </c>
      <c r="AF153" s="72">
        <f>AVERAGE(AE153,AD153,AC153,AA153)</f>
        <v>7.8341896963912069E-3</v>
      </c>
      <c r="AG153" s="62">
        <f>-AG31/((((AG207+AG210)+(AB207+AB210))/2))</f>
        <v>3.1845693075970745E-2</v>
      </c>
      <c r="AH153" s="72">
        <f>AVERAGE(AF153,AE153,AD153,AC153)</f>
        <v>7.8341710694968605E-3</v>
      </c>
      <c r="AI153" s="72">
        <f>AVERAGE(AH153,AF153,AE153,AD153)</f>
        <v>7.8341747292392482E-3</v>
      </c>
      <c r="AJ153" s="72">
        <f>AVERAGE(AI153,AH153,AF153,AE153)</f>
        <v>7.8341906361993688E-3</v>
      </c>
      <c r="AK153" s="72">
        <f>AVERAGE(AJ153,AI153,AH153,AF153)</f>
        <v>7.8341815328316702E-3</v>
      </c>
      <c r="AL153" s="62">
        <f>-AL31/((((AL207+AL210)+(AG207+AG210))/2))</f>
        <v>3.2560475231586422E-2</v>
      </c>
    </row>
    <row r="154" spans="1:38" s="46" customFormat="1" outlineLevel="1" x14ac:dyDescent="0.25">
      <c r="A154" s="359"/>
      <c r="B154" s="408" t="s">
        <v>356</v>
      </c>
      <c r="C154" s="409"/>
      <c r="D154" s="60"/>
      <c r="E154" s="60"/>
      <c r="F154" s="60"/>
      <c r="G154" s="60"/>
      <c r="H154" s="62"/>
      <c r="I154" s="60">
        <f>I43/D43-1</f>
        <v>5.9389868457878192E-2</v>
      </c>
      <c r="J154" s="60">
        <f t="shared" ref="J154:AL154" si="665">J43/E43-1</f>
        <v>-0.47460546003783222</v>
      </c>
      <c r="K154" s="60">
        <f t="shared" si="665"/>
        <v>-1.5922286955663072</v>
      </c>
      <c r="L154" s="318">
        <f t="shared" si="665"/>
        <v>-0.49729020770912513</v>
      </c>
      <c r="M154" s="391">
        <f t="shared" si="665"/>
        <v>-0.65044072776835837</v>
      </c>
      <c r="N154" s="318">
        <f t="shared" si="665"/>
        <v>-9.3563168338369973E-2</v>
      </c>
      <c r="O154" s="318">
        <f t="shared" si="665"/>
        <v>1.3436021424870304</v>
      </c>
      <c r="P154" s="318">
        <f t="shared" si="665"/>
        <v>-2.6291097740210763</v>
      </c>
      <c r="Q154" s="318">
        <f t="shared" si="665"/>
        <v>1.2418742191087295</v>
      </c>
      <c r="R154" s="62">
        <f t="shared" si="665"/>
        <v>2.0243338903436596</v>
      </c>
      <c r="S154" s="318">
        <f t="shared" si="665"/>
        <v>0.32411266279562634</v>
      </c>
      <c r="T154" s="318">
        <f t="shared" si="665"/>
        <v>0.1462990901828467</v>
      </c>
      <c r="U154" s="318">
        <f t="shared" si="665"/>
        <v>0.22885781482570522</v>
      </c>
      <c r="V154" s="318">
        <f t="shared" si="665"/>
        <v>0.25948839644258581</v>
      </c>
      <c r="W154" s="391">
        <f t="shared" si="665"/>
        <v>0.23901689369181711</v>
      </c>
      <c r="X154" s="318">
        <f t="shared" si="665"/>
        <v>0.17269242501827842</v>
      </c>
      <c r="Y154" s="318">
        <f t="shared" si="665"/>
        <v>0.15676469455108322</v>
      </c>
      <c r="Z154" s="318">
        <f t="shared" si="665"/>
        <v>0.13751192444013105</v>
      </c>
      <c r="AA154" s="318">
        <f t="shared" si="665"/>
        <v>0.14317055235135157</v>
      </c>
      <c r="AB154" s="62">
        <f t="shared" si="665"/>
        <v>0.15246137116574277</v>
      </c>
      <c r="AC154" s="318">
        <f t="shared" si="665"/>
        <v>0.16824093658725614</v>
      </c>
      <c r="AD154" s="318">
        <f t="shared" si="665"/>
        <v>0.17519896896475218</v>
      </c>
      <c r="AE154" s="318">
        <f t="shared" si="665"/>
        <v>0.15130673196841138</v>
      </c>
      <c r="AF154" s="318">
        <f t="shared" si="665"/>
        <v>0.16749570762870669</v>
      </c>
      <c r="AG154" s="391">
        <f t="shared" si="665"/>
        <v>0.16547585834341993</v>
      </c>
      <c r="AH154" s="318">
        <f t="shared" si="665"/>
        <v>0.14362330746475949</v>
      </c>
      <c r="AI154" s="318">
        <f t="shared" si="665"/>
        <v>0.14777817314380237</v>
      </c>
      <c r="AJ154" s="318">
        <f t="shared" si="665"/>
        <v>0.14843454843839798</v>
      </c>
      <c r="AK154" s="318">
        <f t="shared" si="665"/>
        <v>0.12899173151119947</v>
      </c>
      <c r="AL154" s="62">
        <f t="shared" si="665"/>
        <v>0.14188098383861303</v>
      </c>
    </row>
    <row r="155" spans="1:38" s="46" customFormat="1" outlineLevel="1" x14ac:dyDescent="0.25">
      <c r="A155" s="359"/>
      <c r="B155" s="408" t="s">
        <v>357</v>
      </c>
      <c r="C155" s="409"/>
      <c r="D155" s="60"/>
      <c r="E155" s="60"/>
      <c r="F155" s="60"/>
      <c r="G155" s="60"/>
      <c r="H155" s="62"/>
      <c r="I155" s="60">
        <f>I258/D258-1</f>
        <v>-0.22820512820512895</v>
      </c>
      <c r="J155" s="60">
        <f t="shared" ref="J155:AL155" si="666">J258/E258-1</f>
        <v>-4.4869364754098413</v>
      </c>
      <c r="K155" s="60">
        <f t="shared" si="666"/>
        <v>-1.314434752864716</v>
      </c>
      <c r="L155" s="318">
        <f t="shared" si="666"/>
        <v>-0.10269984364399365</v>
      </c>
      <c r="M155" s="391">
        <f t="shared" si="666"/>
        <v>-0.78176736149753467</v>
      </c>
      <c r="N155" s="318">
        <f t="shared" si="666"/>
        <v>-0.11510158730118758</v>
      </c>
      <c r="O155" s="318">
        <f t="shared" si="666"/>
        <v>-1.5417655351358859</v>
      </c>
      <c r="P155" s="318">
        <f t="shared" si="666"/>
        <v>-3.7021233639855913</v>
      </c>
      <c r="Q155" s="318">
        <f t="shared" si="666"/>
        <v>0.45667563436032887</v>
      </c>
      <c r="R155" s="62">
        <f t="shared" si="666"/>
        <v>3.3619172618158331</v>
      </c>
      <c r="S155" s="318">
        <f t="shared" si="666"/>
        <v>0.10869543332294329</v>
      </c>
      <c r="T155" s="318">
        <f t="shared" si="666"/>
        <v>0.31007378442051281</v>
      </c>
      <c r="U155" s="318">
        <f t="shared" si="666"/>
        <v>0.36207296870808614</v>
      </c>
      <c r="V155" s="318">
        <f t="shared" si="666"/>
        <v>-4.9497379762675209E-3</v>
      </c>
      <c r="W155" s="391">
        <f t="shared" si="666"/>
        <v>0.15774948216946916</v>
      </c>
      <c r="X155" s="318">
        <f t="shared" si="666"/>
        <v>0.1044380702130292</v>
      </c>
      <c r="Y155" s="318">
        <f t="shared" si="666"/>
        <v>4.3288363348094938E-2</v>
      </c>
      <c r="Z155" s="318">
        <f t="shared" si="666"/>
        <v>9.0804322393608805E-2</v>
      </c>
      <c r="AA155" s="318">
        <f t="shared" si="666"/>
        <v>9.1292887454244909E-2</v>
      </c>
      <c r="AB155" s="62">
        <f t="shared" si="666"/>
        <v>8.7092433162366145E-2</v>
      </c>
      <c r="AC155" s="318">
        <f t="shared" si="666"/>
        <v>0.10300349716176216</v>
      </c>
      <c r="AD155" s="318">
        <f t="shared" si="666"/>
        <v>0.13419464783344903</v>
      </c>
      <c r="AE155" s="318">
        <f t="shared" si="666"/>
        <v>8.840515321731135E-2</v>
      </c>
      <c r="AF155" s="318">
        <f t="shared" si="666"/>
        <v>0.11612000952181556</v>
      </c>
      <c r="AG155" s="391">
        <f t="shared" si="666"/>
        <v>0.10805109207310637</v>
      </c>
      <c r="AH155" s="318">
        <f t="shared" si="666"/>
        <v>8.4000095237242167E-2</v>
      </c>
      <c r="AI155" s="318">
        <f t="shared" si="666"/>
        <v>0.10851588380096699</v>
      </c>
      <c r="AJ155" s="318">
        <f t="shared" si="666"/>
        <v>0.10963421510903903</v>
      </c>
      <c r="AK155" s="318">
        <f t="shared" si="666"/>
        <v>7.1113118061342462E-2</v>
      </c>
      <c r="AL155" s="62">
        <f t="shared" si="666"/>
        <v>9.0954484699042215E-2</v>
      </c>
    </row>
    <row r="156" spans="1:38" s="46" customFormat="1" outlineLevel="1" x14ac:dyDescent="0.25">
      <c r="A156" s="359"/>
      <c r="B156" s="408" t="s">
        <v>358</v>
      </c>
      <c r="C156" s="409"/>
      <c r="D156" s="60"/>
      <c r="E156" s="60"/>
      <c r="F156" s="60"/>
      <c r="G156" s="60"/>
      <c r="H156" s="62"/>
      <c r="I156" s="60">
        <f>I278/D278-1</f>
        <v>-0.24624459406524279</v>
      </c>
      <c r="J156" s="60">
        <f>J278/E278-1</f>
        <v>-54.330199640260766</v>
      </c>
      <c r="K156" s="60">
        <f t="shared" ref="K156:AL156" si="667">K278/F278-1</f>
        <v>-1.8245467727152156</v>
      </c>
      <c r="L156" s="318">
        <f t="shared" si="667"/>
        <v>0.11743107181621593</v>
      </c>
      <c r="M156" s="391">
        <f t="shared" si="667"/>
        <v>-1.0201686743976768</v>
      </c>
      <c r="N156" s="318">
        <f t="shared" si="667"/>
        <v>-0.14457238770352787</v>
      </c>
      <c r="O156" s="318">
        <f t="shared" si="667"/>
        <v>-1.2436566859798721</v>
      </c>
      <c r="P156" s="318">
        <f t="shared" si="667"/>
        <v>-1.9734097790680165</v>
      </c>
      <c r="Q156" s="318">
        <f t="shared" si="667"/>
        <v>0.48975365935747939</v>
      </c>
      <c r="R156" s="62">
        <f t="shared" si="667"/>
        <v>-49.678389601855137</v>
      </c>
      <c r="S156" s="318">
        <f t="shared" si="667"/>
        <v>9.5447456938182684E-2</v>
      </c>
      <c r="T156" s="318">
        <f t="shared" si="667"/>
        <v>0.537793432826569</v>
      </c>
      <c r="U156" s="318">
        <f t="shared" si="667"/>
        <v>0.55204363407672297</v>
      </c>
      <c r="V156" s="318">
        <f t="shared" si="667"/>
        <v>-2.2195420650436559E-2</v>
      </c>
      <c r="W156" s="391">
        <f t="shared" si="667"/>
        <v>0.19558739623265531</v>
      </c>
      <c r="X156" s="318">
        <f t="shared" si="667"/>
        <v>0.16636423616709495</v>
      </c>
      <c r="Y156" s="318">
        <f t="shared" si="667"/>
        <v>0.13711490632639567</v>
      </c>
      <c r="Z156" s="318">
        <f t="shared" si="667"/>
        <v>0.1675396749185194</v>
      </c>
      <c r="AA156" s="318">
        <f t="shared" si="667"/>
        <v>0.16635506408668066</v>
      </c>
      <c r="AB156" s="62">
        <f t="shared" si="667"/>
        <v>0.16222303002585425</v>
      </c>
      <c r="AC156" s="318">
        <f t="shared" si="667"/>
        <v>0.10396397837621407</v>
      </c>
      <c r="AD156" s="318">
        <f t="shared" si="667"/>
        <v>0.14733804644404236</v>
      </c>
      <c r="AE156" s="318">
        <f t="shared" si="667"/>
        <v>8.3511036114366721E-2</v>
      </c>
      <c r="AF156" s="318">
        <f t="shared" si="667"/>
        <v>0.11854497778068485</v>
      </c>
      <c r="AG156" s="391">
        <f t="shared" si="667"/>
        <v>0.10919148016939562</v>
      </c>
      <c r="AH156" s="318">
        <f t="shared" si="667"/>
        <v>7.9405649814117574E-2</v>
      </c>
      <c r="AI156" s="318">
        <f t="shared" si="667"/>
        <v>0.10556346332386246</v>
      </c>
      <c r="AJ156" s="318">
        <f t="shared" si="667"/>
        <v>0.10644777019007368</v>
      </c>
      <c r="AK156" s="318">
        <f t="shared" si="667"/>
        <v>5.7033585164226519E-2</v>
      </c>
      <c r="AL156" s="62">
        <f t="shared" si="667"/>
        <v>8.3977330732788236E-2</v>
      </c>
    </row>
    <row r="157" spans="1:38" ht="18" x14ac:dyDescent="0.4">
      <c r="A157" s="293"/>
      <c r="B157" s="512" t="s">
        <v>346</v>
      </c>
      <c r="C157" s="513"/>
      <c r="D157" s="35" t="s">
        <v>123</v>
      </c>
      <c r="E157" s="35" t="s">
        <v>281</v>
      </c>
      <c r="F157" s="35" t="s">
        <v>285</v>
      </c>
      <c r="G157" s="35" t="s">
        <v>295</v>
      </c>
      <c r="H157" s="102" t="s">
        <v>296</v>
      </c>
      <c r="I157" s="35" t="s">
        <v>297</v>
      </c>
      <c r="J157" s="35" t="s">
        <v>298</v>
      </c>
      <c r="K157" s="35" t="s">
        <v>299</v>
      </c>
      <c r="L157" s="33" t="s">
        <v>141</v>
      </c>
      <c r="M157" s="105" t="s">
        <v>142</v>
      </c>
      <c r="N157" s="33" t="s">
        <v>143</v>
      </c>
      <c r="O157" s="33" t="s">
        <v>144</v>
      </c>
      <c r="P157" s="33" t="s">
        <v>145</v>
      </c>
      <c r="Q157" s="33" t="s">
        <v>146</v>
      </c>
      <c r="R157" s="105" t="s">
        <v>147</v>
      </c>
      <c r="S157" s="33" t="s">
        <v>148</v>
      </c>
      <c r="T157" s="33" t="s">
        <v>149</v>
      </c>
      <c r="U157" s="33" t="s">
        <v>150</v>
      </c>
      <c r="V157" s="33" t="s">
        <v>151</v>
      </c>
      <c r="W157" s="105" t="s">
        <v>152</v>
      </c>
      <c r="X157" s="33" t="s">
        <v>153</v>
      </c>
      <c r="Y157" s="33" t="s">
        <v>154</v>
      </c>
      <c r="Z157" s="33" t="s">
        <v>155</v>
      </c>
      <c r="AA157" s="33" t="s">
        <v>156</v>
      </c>
      <c r="AB157" s="105" t="s">
        <v>157</v>
      </c>
      <c r="AC157" s="33" t="s">
        <v>290</v>
      </c>
      <c r="AD157" s="33" t="s">
        <v>291</v>
      </c>
      <c r="AE157" s="33" t="s">
        <v>292</v>
      </c>
      <c r="AF157" s="33" t="s">
        <v>293</v>
      </c>
      <c r="AG157" s="105" t="s">
        <v>294</v>
      </c>
      <c r="AH157" s="33" t="s">
        <v>323</v>
      </c>
      <c r="AI157" s="33" t="s">
        <v>324</v>
      </c>
      <c r="AJ157" s="33" t="s">
        <v>325</v>
      </c>
      <c r="AK157" s="33" t="s">
        <v>326</v>
      </c>
      <c r="AL157" s="105" t="s">
        <v>327</v>
      </c>
    </row>
    <row r="158" spans="1:38" outlineLevel="1" x14ac:dyDescent="0.25">
      <c r="A158" s="293"/>
      <c r="B158" s="510" t="s">
        <v>54</v>
      </c>
      <c r="C158" s="511"/>
      <c r="D158" s="60"/>
      <c r="E158" s="60">
        <f>(E39+E162+E165+E168)/D39-1</f>
        <v>2.777764747303535E-2</v>
      </c>
      <c r="F158" s="60">
        <f>(F39+F162+F165+F168)/E39-1</f>
        <v>-1.7269004124131682E-2</v>
      </c>
      <c r="G158" s="60">
        <f>(G39+G162+G165+G168)/F39-1</f>
        <v>1.9258933156590885E-2</v>
      </c>
      <c r="H158" s="22"/>
      <c r="I158" s="60">
        <f>(I39+I162+I165+I168)/G39-1</f>
        <v>-1.436336111538794E-2</v>
      </c>
      <c r="J158" s="60">
        <f>(J39+J162+J165+J168)/I39-1</f>
        <v>-1.1333810572689007E-3</v>
      </c>
      <c r="K158" s="60">
        <f>(K39+K162+K165+K168)/J39-1</f>
        <v>-2.8161802355349819E-3</v>
      </c>
      <c r="L158" s="72">
        <f t="shared" ref="L158:L159" si="668">AVERAGE(G158,I158,J158,K158)</f>
        <v>2.3650268709976552E-4</v>
      </c>
      <c r="M158" s="22"/>
      <c r="N158" s="72">
        <f t="shared" ref="N158:N159" si="669">AVERAGE(I158,J158,K158,L158)</f>
        <v>-4.5191049302730144E-3</v>
      </c>
      <c r="O158" s="72">
        <f t="shared" ref="O158:O159" si="670">AVERAGE(J158,K158,L158,N158)</f>
        <v>-2.0580408839942829E-3</v>
      </c>
      <c r="P158" s="72">
        <f t="shared" ref="P158:P159" si="671">AVERAGE(K158,L158,N158,O158)</f>
        <v>-2.2892058406756284E-3</v>
      </c>
      <c r="Q158" s="72">
        <f t="shared" ref="Q158:Q159" si="672">AVERAGE(L158,N158,O158,P158)</f>
        <v>-2.1574622419607901E-3</v>
      </c>
      <c r="R158" s="22"/>
      <c r="S158" s="72">
        <f t="shared" ref="S158:S159" si="673">AVERAGE(N158,O158,P158,Q158)</f>
        <v>-2.7559534742259291E-3</v>
      </c>
      <c r="T158" s="72">
        <f t="shared" ref="T158:T159" si="674">AVERAGE(O158,P158,Q158,S158)</f>
        <v>-2.315165610214158E-3</v>
      </c>
      <c r="U158" s="72">
        <f t="shared" ref="U158:U159" si="675">AVERAGE(P158,Q158,S158,T158)</f>
        <v>-2.3794467917691263E-3</v>
      </c>
      <c r="V158" s="72">
        <f t="shared" ref="V158:V159" si="676">AVERAGE(Q158,S158,T158,U158)</f>
        <v>-2.4020070295425007E-3</v>
      </c>
      <c r="W158" s="22"/>
      <c r="X158" s="72">
        <f t="shared" ref="X158:X159" si="677">AVERAGE(S158,T158,U158,V158)</f>
        <v>-2.4631432264379284E-3</v>
      </c>
      <c r="Y158" s="72">
        <f t="shared" ref="Y158:Y159" si="678">AVERAGE(T158,U158,V158,X158)</f>
        <v>-2.3899406644909285E-3</v>
      </c>
      <c r="Z158" s="72">
        <f t="shared" ref="Z158:Z159" si="679">AVERAGE(U158,V158,X158,Y158)</f>
        <v>-2.408634428060121E-3</v>
      </c>
      <c r="AA158" s="72">
        <f t="shared" ref="AA158:AA159" si="680">AVERAGE(V158,X158,Y158,Z158)</f>
        <v>-2.4159313371328699E-3</v>
      </c>
      <c r="AB158" s="22"/>
      <c r="AC158" s="72">
        <f t="shared" ref="AC158:AC159" si="681">AVERAGE(X158,Y158,Z158,AA158)</f>
        <v>-2.4194124140304619E-3</v>
      </c>
      <c r="AD158" s="72">
        <f t="shared" ref="AD158:AD159" si="682">AVERAGE(Y158,Z158,AA158,AC158)</f>
        <v>-2.4084797109285953E-3</v>
      </c>
      <c r="AE158" s="72">
        <f t="shared" ref="AE158:AE159" si="683">AVERAGE(Z158,AA158,AC158,AD158)</f>
        <v>-2.4131144725380122E-3</v>
      </c>
      <c r="AF158" s="72">
        <f t="shared" ref="AF158:AF159" si="684">AVERAGE(AA158,AC158,AD158,AE158)</f>
        <v>-2.4142344836574851E-3</v>
      </c>
      <c r="AG158" s="22"/>
      <c r="AH158" s="72">
        <f t="shared" ref="AH158:AH159" si="685">AVERAGE(AC158,AD158,AE158,AF158)</f>
        <v>-2.4138102702886384E-3</v>
      </c>
      <c r="AI158" s="72">
        <f t="shared" ref="AI158:AI159" si="686">AVERAGE(AD158,AE158,AF158,AH158)</f>
        <v>-2.4124097343531828E-3</v>
      </c>
      <c r="AJ158" s="72">
        <f t="shared" ref="AJ158:AJ159" si="687">AVERAGE(AE158,AF158,AH158,AI158)</f>
        <v>-2.4133922402093297E-3</v>
      </c>
      <c r="AK158" s="72">
        <f t="shared" ref="AK158:AK159" si="688">AVERAGE(AF158,AH158,AI158,AJ158)</f>
        <v>-2.413461682127159E-3</v>
      </c>
      <c r="AL158" s="22"/>
    </row>
    <row r="159" spans="1:38" outlineLevel="1" x14ac:dyDescent="0.25">
      <c r="A159" s="293"/>
      <c r="B159" s="510" t="s">
        <v>55</v>
      </c>
      <c r="C159" s="511"/>
      <c r="D159" s="60"/>
      <c r="E159" s="60">
        <f>(E40+E162+E165+E168)/D40-1</f>
        <v>2.7604785512613583E-2</v>
      </c>
      <c r="F159" s="60">
        <f>(F40+F162+F165+F168)/E40-1</f>
        <v>-1.6710442080933863E-2</v>
      </c>
      <c r="G159" s="60">
        <f>(G40+G162+G165+G168)/F40-1</f>
        <v>1.9089589576967603E-2</v>
      </c>
      <c r="H159" s="22"/>
      <c r="I159" s="60">
        <f>(I40+I162+I165+I168)/G40-1</f>
        <v>-1.5386652077945762E-2</v>
      </c>
      <c r="J159" s="60">
        <f>(J40+J162+J165+J168)/I40-1</f>
        <v>-2.5506658270361138E-3</v>
      </c>
      <c r="K159" s="60">
        <f>(K40+K162+K165+K168)/J40-1</f>
        <v>-1.0332853392055585E-2</v>
      </c>
      <c r="L159" s="72">
        <f t="shared" si="668"/>
        <v>-2.2951454300174645E-3</v>
      </c>
      <c r="M159" s="22"/>
      <c r="N159" s="72">
        <f t="shared" si="669"/>
        <v>-7.6413291817637313E-3</v>
      </c>
      <c r="O159" s="72">
        <f t="shared" si="670"/>
        <v>-5.7049984577182238E-3</v>
      </c>
      <c r="P159" s="72">
        <f t="shared" si="671"/>
        <v>-6.4935816153887512E-3</v>
      </c>
      <c r="Q159" s="72">
        <f t="shared" si="672"/>
        <v>-5.5337636712220429E-3</v>
      </c>
      <c r="R159" s="22"/>
      <c r="S159" s="72">
        <f t="shared" si="673"/>
        <v>-6.3434182315231877E-3</v>
      </c>
      <c r="T159" s="72">
        <f t="shared" si="674"/>
        <v>-6.0189404939630514E-3</v>
      </c>
      <c r="U159" s="72">
        <f t="shared" si="675"/>
        <v>-6.0974260030242583E-3</v>
      </c>
      <c r="V159" s="72">
        <f t="shared" si="676"/>
        <v>-5.9983870999331347E-3</v>
      </c>
      <c r="W159" s="22"/>
      <c r="X159" s="72">
        <f t="shared" si="677"/>
        <v>-6.1145429571109085E-3</v>
      </c>
      <c r="Y159" s="72">
        <f t="shared" si="678"/>
        <v>-6.0573241385078382E-3</v>
      </c>
      <c r="Z159" s="72">
        <f t="shared" si="679"/>
        <v>-6.0669200496440354E-3</v>
      </c>
      <c r="AA159" s="72">
        <f t="shared" si="680"/>
        <v>-6.0592935612989798E-3</v>
      </c>
      <c r="AB159" s="22"/>
      <c r="AC159" s="72">
        <f t="shared" si="681"/>
        <v>-6.07452017664044E-3</v>
      </c>
      <c r="AD159" s="72">
        <f t="shared" si="682"/>
        <v>-6.0645144815228234E-3</v>
      </c>
      <c r="AE159" s="72">
        <f t="shared" si="683"/>
        <v>-6.0663120672765688E-3</v>
      </c>
      <c r="AF159" s="72">
        <f t="shared" si="684"/>
        <v>-6.0661600716847026E-3</v>
      </c>
      <c r="AG159" s="22"/>
      <c r="AH159" s="72">
        <f t="shared" si="685"/>
        <v>-6.0678766992811328E-3</v>
      </c>
      <c r="AI159" s="72">
        <f t="shared" si="686"/>
        <v>-6.0662158299413065E-3</v>
      </c>
      <c r="AJ159" s="72">
        <f t="shared" si="687"/>
        <v>-6.0666411670459277E-3</v>
      </c>
      <c r="AK159" s="72">
        <f t="shared" si="688"/>
        <v>-6.0667234419882676E-3</v>
      </c>
      <c r="AL159" s="22"/>
    </row>
    <row r="160" spans="1:38" outlineLevel="1" x14ac:dyDescent="0.25">
      <c r="A160" s="293"/>
      <c r="B160" s="510" t="s">
        <v>353</v>
      </c>
      <c r="C160" s="511"/>
      <c r="D160" s="74"/>
      <c r="E160" s="311">
        <v>69.922678056926543</v>
      </c>
      <c r="F160" s="311">
        <v>83.13076202744692</v>
      </c>
      <c r="G160" s="311">
        <v>92.52</v>
      </c>
      <c r="H160" s="75"/>
      <c r="I160" s="311">
        <v>85.23</v>
      </c>
      <c r="J160" s="311">
        <v>78.08</v>
      </c>
      <c r="K160" s="311">
        <v>0</v>
      </c>
      <c r="L160" s="76">
        <v>72</v>
      </c>
      <c r="M160" s="75"/>
      <c r="N160" s="76">
        <v>75</v>
      </c>
      <c r="O160" s="76">
        <v>80</v>
      </c>
      <c r="P160" s="76">
        <f>+O160</f>
        <v>80</v>
      </c>
      <c r="Q160" s="76">
        <f>+P160</f>
        <v>80</v>
      </c>
      <c r="R160" s="75"/>
      <c r="S160" s="76">
        <f>+Q160</f>
        <v>80</v>
      </c>
      <c r="T160" s="76">
        <f>+S160</f>
        <v>80</v>
      </c>
      <c r="U160" s="76">
        <f>+T160</f>
        <v>80</v>
      </c>
      <c r="V160" s="76">
        <f>+U160</f>
        <v>80</v>
      </c>
      <c r="W160" s="75"/>
      <c r="X160" s="76">
        <f>+V160</f>
        <v>80</v>
      </c>
      <c r="Y160" s="76">
        <f>+X160</f>
        <v>80</v>
      </c>
      <c r="Z160" s="76">
        <f>+Y160</f>
        <v>80</v>
      </c>
      <c r="AA160" s="76">
        <f>+Z160</f>
        <v>80</v>
      </c>
      <c r="AB160" s="75"/>
      <c r="AC160" s="76">
        <f>+AA160</f>
        <v>80</v>
      </c>
      <c r="AD160" s="76">
        <f>+AC160</f>
        <v>80</v>
      </c>
      <c r="AE160" s="76">
        <f>+AD160</f>
        <v>80</v>
      </c>
      <c r="AF160" s="76">
        <f>+AE160</f>
        <v>80</v>
      </c>
      <c r="AG160" s="75"/>
      <c r="AH160" s="76">
        <f>+AF160</f>
        <v>80</v>
      </c>
      <c r="AI160" s="76">
        <f>+AH160</f>
        <v>80</v>
      </c>
      <c r="AJ160" s="76">
        <f>+AI160</f>
        <v>80</v>
      </c>
      <c r="AK160" s="76">
        <f>+AJ160</f>
        <v>80</v>
      </c>
      <c r="AL160" s="75"/>
    </row>
    <row r="161" spans="1:38" outlineLevel="1" x14ac:dyDescent="0.25">
      <c r="A161" s="293"/>
      <c r="B161" s="510" t="s">
        <v>354</v>
      </c>
      <c r="C161" s="511"/>
      <c r="D161" s="37"/>
      <c r="E161" s="300">
        <v>713.2</v>
      </c>
      <c r="F161" s="300">
        <f>954.3-713.2</f>
        <v>241.09999999999991</v>
      </c>
      <c r="G161" s="295">
        <v>2177.1942404399997</v>
      </c>
      <c r="H161" s="38">
        <f>+SUM(D161:G161)</f>
        <v>3131.4942404399999</v>
      </c>
      <c r="I161" s="295">
        <v>1107.9389472300002</v>
      </c>
      <c r="J161" s="295">
        <v>567.02921856000012</v>
      </c>
      <c r="K161" s="295">
        <v>0</v>
      </c>
      <c r="L161" s="70">
        <v>100</v>
      </c>
      <c r="M161" s="38">
        <f>+SUM(I161:L161)</f>
        <v>1774.9681657900003</v>
      </c>
      <c r="N161" s="70">
        <v>100</v>
      </c>
      <c r="O161" s="70">
        <v>100</v>
      </c>
      <c r="P161" s="70">
        <v>100</v>
      </c>
      <c r="Q161" s="70">
        <v>100</v>
      </c>
      <c r="R161" s="38">
        <f>+SUM(N161:Q161)</f>
        <v>400</v>
      </c>
      <c r="S161" s="70">
        <v>100</v>
      </c>
      <c r="T161" s="70">
        <v>100</v>
      </c>
      <c r="U161" s="70">
        <v>100</v>
      </c>
      <c r="V161" s="70">
        <v>100</v>
      </c>
      <c r="W161" s="38">
        <f>+SUM(S161:V161)</f>
        <v>400</v>
      </c>
      <c r="X161" s="70">
        <v>100</v>
      </c>
      <c r="Y161" s="70">
        <v>100</v>
      </c>
      <c r="Z161" s="70">
        <v>100</v>
      </c>
      <c r="AA161" s="70">
        <v>100</v>
      </c>
      <c r="AB161" s="38">
        <f>+SUM(X161:AA161)</f>
        <v>400</v>
      </c>
      <c r="AC161" s="70">
        <v>100</v>
      </c>
      <c r="AD161" s="70">
        <v>100</v>
      </c>
      <c r="AE161" s="70">
        <v>100</v>
      </c>
      <c r="AF161" s="70">
        <v>100</v>
      </c>
      <c r="AG161" s="38">
        <f>+SUM(AC161:AF161)</f>
        <v>400</v>
      </c>
      <c r="AH161" s="70">
        <v>100</v>
      </c>
      <c r="AI161" s="70">
        <v>100</v>
      </c>
      <c r="AJ161" s="70">
        <v>100</v>
      </c>
      <c r="AK161" s="70">
        <v>100</v>
      </c>
      <c r="AL161" s="38">
        <f>+SUM(AH161:AK161)</f>
        <v>400</v>
      </c>
    </row>
    <row r="162" spans="1:38" outlineLevel="1" x14ac:dyDescent="0.25">
      <c r="A162" s="293"/>
      <c r="B162" s="510" t="s">
        <v>355</v>
      </c>
      <c r="C162" s="511"/>
      <c r="D162" s="399"/>
      <c r="E162" s="399">
        <f>IF((E161)&gt;0,(E161/E160),0)</f>
        <v>10.199838161509755</v>
      </c>
      <c r="F162" s="402">
        <f>IF((F161)&gt;0,(F161/F160),0)</f>
        <v>2.9002500893760241</v>
      </c>
      <c r="G162" s="402">
        <f>IF((G161)&gt;0,(G161/G160),0)</f>
        <v>23.532146999999998</v>
      </c>
      <c r="H162" s="188">
        <f>+SUM(D162:G162)</f>
        <v>36.632235250885778</v>
      </c>
      <c r="I162" s="399">
        <f>IF((I161)&gt;0,(I161/I160),0)</f>
        <v>12.999401000000001</v>
      </c>
      <c r="J162" s="402">
        <f>IF((J161)&gt;0,(J161/J160),0)</f>
        <v>7.262157000000002</v>
      </c>
      <c r="K162" s="399">
        <f>IF((K161)&gt;0,(K161/K160),0)</f>
        <v>0</v>
      </c>
      <c r="L162" s="399">
        <f>IF((L161)&gt;0,(L161/L160),0)</f>
        <v>1.3888888888888888</v>
      </c>
      <c r="M162" s="188">
        <f>+SUM(I162:L162)</f>
        <v>21.65044688888889</v>
      </c>
      <c r="N162" s="399">
        <f>IF((N161)&gt;0,(N161/N160),0)</f>
        <v>1.3333333333333333</v>
      </c>
      <c r="O162" s="399">
        <f>IF((O161)&gt;0,(O161/O160),0)</f>
        <v>1.25</v>
      </c>
      <c r="P162" s="399">
        <f>IF((P161)&gt;0,(P161/P160),0)</f>
        <v>1.25</v>
      </c>
      <c r="Q162" s="399">
        <f>IF((Q161)&gt;0,(Q161/Q160),0)</f>
        <v>1.25</v>
      </c>
      <c r="R162" s="188">
        <f>+SUM(N162:Q162)</f>
        <v>5.083333333333333</v>
      </c>
      <c r="S162" s="399">
        <f>IF((S161)&gt;0,(S161/S160),0)</f>
        <v>1.25</v>
      </c>
      <c r="T162" s="399">
        <f>IF((T161)&gt;0,(T161/T160),0)</f>
        <v>1.25</v>
      </c>
      <c r="U162" s="399">
        <f>IF((U161)&gt;0,(U161/U160),0)</f>
        <v>1.25</v>
      </c>
      <c r="V162" s="399">
        <f>IF((V161)&gt;0,(V161/V160),0)</f>
        <v>1.25</v>
      </c>
      <c r="W162" s="188">
        <f>+SUM(S162:V162)</f>
        <v>5</v>
      </c>
      <c r="X162" s="399">
        <f>IF((X161)&gt;0,(X161/X160),0)</f>
        <v>1.25</v>
      </c>
      <c r="Y162" s="399">
        <f>IF((Y161)&gt;0,(Y161/Y160),0)</f>
        <v>1.25</v>
      </c>
      <c r="Z162" s="399">
        <f>IF((Z161)&gt;0,(Z161/Z160),0)</f>
        <v>1.25</v>
      </c>
      <c r="AA162" s="399">
        <f>IF((AA161)&gt;0,(AA161/AA160),0)</f>
        <v>1.25</v>
      </c>
      <c r="AB162" s="188">
        <f>+SUM(X162:AA162)</f>
        <v>5</v>
      </c>
      <c r="AC162" s="399">
        <f>IF((AC161)&gt;0,(AC161/AC160),0)</f>
        <v>1.25</v>
      </c>
      <c r="AD162" s="399">
        <f>IF((AD161)&gt;0,(AD161/AD160),0)</f>
        <v>1.25</v>
      </c>
      <c r="AE162" s="399">
        <f>IF((AE161)&gt;0,(AE161/AE160),0)</f>
        <v>1.25</v>
      </c>
      <c r="AF162" s="399">
        <f>IF((AF161)&gt;0,(AF161/AF160),0)</f>
        <v>1.25</v>
      </c>
      <c r="AG162" s="188">
        <f>+SUM(AC162:AF162)</f>
        <v>5</v>
      </c>
      <c r="AH162" s="399">
        <f>IF((AH161)&gt;0,(AH161/AH160),0)</f>
        <v>1.25</v>
      </c>
      <c r="AI162" s="399">
        <f>IF((AI161)&gt;0,(AI161/AI160),0)</f>
        <v>1.25</v>
      </c>
      <c r="AJ162" s="399">
        <f>IF((AJ161)&gt;0,(AJ161/AJ160),0)</f>
        <v>1.25</v>
      </c>
      <c r="AK162" s="399">
        <f>IF((AK161)&gt;0,(AK161/AK160),0)</f>
        <v>1.25</v>
      </c>
      <c r="AL162" s="188">
        <f>+SUM(AH162:AK162)</f>
        <v>5</v>
      </c>
    </row>
    <row r="163" spans="1:38" outlineLevel="1" x14ac:dyDescent="0.25">
      <c r="A163" s="293"/>
      <c r="B163" s="533" t="s">
        <v>347</v>
      </c>
      <c r="C163" s="534"/>
      <c r="D163" s="403">
        <v>55.58</v>
      </c>
      <c r="E163" s="404">
        <v>65.03</v>
      </c>
      <c r="F163" s="259"/>
      <c r="G163" s="259"/>
      <c r="H163" s="234"/>
      <c r="I163" s="259"/>
      <c r="J163" s="259"/>
      <c r="K163" s="259"/>
      <c r="L163" s="259"/>
      <c r="M163" s="234"/>
      <c r="N163" s="259"/>
      <c r="O163" s="259"/>
      <c r="P163" s="259"/>
      <c r="Q163" s="259"/>
      <c r="R163" s="234"/>
      <c r="S163" s="259"/>
      <c r="T163" s="259"/>
      <c r="U163" s="259"/>
      <c r="V163" s="259"/>
      <c r="W163" s="234"/>
      <c r="X163" s="259"/>
      <c r="Y163" s="259"/>
      <c r="Z163" s="259"/>
      <c r="AA163" s="259"/>
      <c r="AB163" s="234"/>
      <c r="AC163" s="259"/>
      <c r="AD163" s="259"/>
      <c r="AE163" s="259"/>
      <c r="AF163" s="259"/>
      <c r="AG163" s="234"/>
      <c r="AH163" s="259"/>
      <c r="AI163" s="259"/>
      <c r="AJ163" s="259"/>
      <c r="AK163" s="259"/>
      <c r="AL163" s="234"/>
    </row>
    <row r="164" spans="1:38" outlineLevel="1" x14ac:dyDescent="0.25">
      <c r="A164" s="293"/>
      <c r="B164" s="535" t="s">
        <v>348</v>
      </c>
      <c r="C164" s="536"/>
      <c r="D164" s="405">
        <f>71.968334*55.58</f>
        <v>4000.0000037199998</v>
      </c>
      <c r="E164" s="406">
        <v>318.64700000000005</v>
      </c>
      <c r="F164" s="399"/>
      <c r="G164" s="399"/>
      <c r="H164" s="188"/>
      <c r="I164" s="399"/>
      <c r="J164" s="399"/>
      <c r="K164" s="399"/>
      <c r="L164" s="399"/>
      <c r="M164" s="188"/>
      <c r="N164" s="399"/>
      <c r="O164" s="399"/>
      <c r="P164" s="399"/>
      <c r="Q164" s="399"/>
      <c r="R164" s="188"/>
      <c r="S164" s="399"/>
      <c r="T164" s="399"/>
      <c r="U164" s="399"/>
      <c r="V164" s="399"/>
      <c r="W164" s="188"/>
      <c r="X164" s="399"/>
      <c r="Y164" s="399"/>
      <c r="Z164" s="399"/>
      <c r="AA164" s="399"/>
      <c r="AB164" s="188"/>
      <c r="AC164" s="399"/>
      <c r="AD164" s="399"/>
      <c r="AE164" s="399"/>
      <c r="AF164" s="399"/>
      <c r="AG164" s="188"/>
      <c r="AH164" s="399"/>
      <c r="AI164" s="399"/>
      <c r="AJ164" s="399"/>
      <c r="AK164" s="399"/>
      <c r="AL164" s="188"/>
    </row>
    <row r="165" spans="1:38" outlineLevel="1" x14ac:dyDescent="0.25">
      <c r="A165" s="293"/>
      <c r="B165" s="563" t="s">
        <v>349</v>
      </c>
      <c r="C165" s="564"/>
      <c r="D165" s="407">
        <f>IF((D164)&gt;0,(D164/D163),0)</f>
        <v>71.968333999999999</v>
      </c>
      <c r="E165" s="400">
        <f>IF((E164)&gt;0,(E164/E163),0)</f>
        <v>4.9000000000000004</v>
      </c>
      <c r="F165" s="400"/>
      <c r="G165" s="400"/>
      <c r="H165" s="401"/>
      <c r="I165" s="400"/>
      <c r="J165" s="400"/>
      <c r="K165" s="400"/>
      <c r="L165" s="400"/>
      <c r="M165" s="401"/>
      <c r="N165" s="400"/>
      <c r="O165" s="400"/>
      <c r="P165" s="400"/>
      <c r="Q165" s="400"/>
      <c r="R165" s="401"/>
      <c r="S165" s="400"/>
      <c r="T165" s="400"/>
      <c r="U165" s="400"/>
      <c r="V165" s="400"/>
      <c r="W165" s="401"/>
      <c r="X165" s="400"/>
      <c r="Y165" s="400"/>
      <c r="Z165" s="400"/>
      <c r="AA165" s="400"/>
      <c r="AB165" s="401"/>
      <c r="AC165" s="400"/>
      <c r="AD165" s="400"/>
      <c r="AE165" s="400"/>
      <c r="AF165" s="400"/>
      <c r="AG165" s="401"/>
      <c r="AH165" s="400"/>
      <c r="AI165" s="400"/>
      <c r="AJ165" s="400"/>
      <c r="AK165" s="400"/>
      <c r="AL165" s="401"/>
    </row>
    <row r="166" spans="1:38" outlineLevel="1" x14ac:dyDescent="0.25">
      <c r="A166" s="293"/>
      <c r="B166" s="342" t="s">
        <v>350</v>
      </c>
      <c r="C166" s="343"/>
      <c r="D166" s="399"/>
      <c r="E166" s="74">
        <v>71.959999999999994</v>
      </c>
      <c r="F166" s="74">
        <v>76.5</v>
      </c>
      <c r="G166" s="399"/>
      <c r="H166" s="188"/>
      <c r="I166" s="399"/>
      <c r="J166" s="399"/>
      <c r="K166" s="399"/>
      <c r="L166" s="399"/>
      <c r="M166" s="188"/>
      <c r="N166" s="399"/>
      <c r="O166" s="399"/>
      <c r="P166" s="399"/>
      <c r="Q166" s="399"/>
      <c r="R166" s="188"/>
      <c r="S166" s="399"/>
      <c r="T166" s="399"/>
      <c r="U166" s="399"/>
      <c r="V166" s="399"/>
      <c r="W166" s="188"/>
      <c r="X166" s="399"/>
      <c r="Y166" s="399"/>
      <c r="Z166" s="399"/>
      <c r="AA166" s="399"/>
      <c r="AB166" s="188"/>
      <c r="AC166" s="399"/>
      <c r="AD166" s="399"/>
      <c r="AE166" s="399"/>
      <c r="AF166" s="399"/>
      <c r="AG166" s="188"/>
      <c r="AH166" s="399"/>
      <c r="AI166" s="399"/>
      <c r="AJ166" s="399"/>
      <c r="AK166" s="399"/>
      <c r="AL166" s="188"/>
    </row>
    <row r="167" spans="1:38" outlineLevel="1" x14ac:dyDescent="0.25">
      <c r="A167" s="293"/>
      <c r="B167" s="342" t="s">
        <v>351</v>
      </c>
      <c r="C167" s="343"/>
      <c r="D167" s="399"/>
      <c r="E167" s="37">
        <v>1597.5119999999997</v>
      </c>
      <c r="F167" s="37">
        <v>298.35000000000002</v>
      </c>
      <c r="G167" s="399"/>
      <c r="H167" s="188"/>
      <c r="I167" s="399"/>
      <c r="J167" s="399"/>
      <c r="K167" s="399"/>
      <c r="L167" s="399"/>
      <c r="M167" s="188"/>
      <c r="N167" s="399"/>
      <c r="O167" s="399"/>
      <c r="P167" s="399"/>
      <c r="Q167" s="399"/>
      <c r="R167" s="188"/>
      <c r="S167" s="399"/>
      <c r="T167" s="399"/>
      <c r="U167" s="399"/>
      <c r="V167" s="399"/>
      <c r="W167" s="188"/>
      <c r="X167" s="399"/>
      <c r="Y167" s="399"/>
      <c r="Z167" s="399"/>
      <c r="AA167" s="399"/>
      <c r="AB167" s="188"/>
      <c r="AC167" s="399"/>
      <c r="AD167" s="399"/>
      <c r="AE167" s="399"/>
      <c r="AF167" s="399"/>
      <c r="AG167" s="188"/>
      <c r="AH167" s="399"/>
      <c r="AI167" s="399"/>
      <c r="AJ167" s="399"/>
      <c r="AK167" s="399"/>
      <c r="AL167" s="188"/>
    </row>
    <row r="168" spans="1:38" outlineLevel="1" x14ac:dyDescent="0.25">
      <c r="A168" s="293"/>
      <c r="B168" s="342" t="s">
        <v>352</v>
      </c>
      <c r="C168" s="343"/>
      <c r="D168" s="399"/>
      <c r="E168" s="399">
        <f>IF((E167)&gt;0,(E167/E166),0)</f>
        <v>22.2</v>
      </c>
      <c r="F168" s="399">
        <f>IF((F167)&gt;0,(F167/F166),0)</f>
        <v>3.9000000000000004</v>
      </c>
      <c r="G168" s="399"/>
      <c r="H168" s="188"/>
      <c r="I168" s="399"/>
      <c r="J168" s="399"/>
      <c r="K168" s="399"/>
      <c r="L168" s="399"/>
      <c r="M168" s="188"/>
      <c r="N168" s="399"/>
      <c r="O168" s="399"/>
      <c r="P168" s="399"/>
      <c r="Q168" s="399"/>
      <c r="R168" s="188"/>
      <c r="S168" s="399"/>
      <c r="T168" s="399"/>
      <c r="U168" s="399"/>
      <c r="V168" s="399"/>
      <c r="W168" s="188"/>
      <c r="X168" s="399"/>
      <c r="Y168" s="399"/>
      <c r="Z168" s="399"/>
      <c r="AA168" s="399"/>
      <c r="AB168" s="188"/>
      <c r="AC168" s="399"/>
      <c r="AD168" s="399"/>
      <c r="AE168" s="399"/>
      <c r="AF168" s="399"/>
      <c r="AG168" s="188"/>
      <c r="AH168" s="399"/>
      <c r="AI168" s="399"/>
      <c r="AJ168" s="399"/>
      <c r="AK168" s="399"/>
      <c r="AL168" s="188"/>
    </row>
    <row r="169" spans="1:38" ht="18" x14ac:dyDescent="0.4">
      <c r="A169" s="293"/>
      <c r="B169" s="512" t="s">
        <v>78</v>
      </c>
      <c r="C169" s="513"/>
      <c r="D169" s="35" t="s">
        <v>123</v>
      </c>
      <c r="E169" s="35" t="s">
        <v>281</v>
      </c>
      <c r="F169" s="35" t="s">
        <v>285</v>
      </c>
      <c r="G169" s="35" t="s">
        <v>295</v>
      </c>
      <c r="H169" s="102" t="s">
        <v>296</v>
      </c>
      <c r="I169" s="35" t="s">
        <v>297</v>
      </c>
      <c r="J169" s="35" t="s">
        <v>298</v>
      </c>
      <c r="K169" s="35" t="s">
        <v>299</v>
      </c>
      <c r="L169" s="33" t="s">
        <v>141</v>
      </c>
      <c r="M169" s="105" t="s">
        <v>142</v>
      </c>
      <c r="N169" s="33" t="s">
        <v>143</v>
      </c>
      <c r="O169" s="33" t="s">
        <v>144</v>
      </c>
      <c r="P169" s="33" t="s">
        <v>145</v>
      </c>
      <c r="Q169" s="33" t="s">
        <v>146</v>
      </c>
      <c r="R169" s="105" t="s">
        <v>147</v>
      </c>
      <c r="S169" s="33" t="s">
        <v>148</v>
      </c>
      <c r="T169" s="33" t="s">
        <v>149</v>
      </c>
      <c r="U169" s="33" t="s">
        <v>150</v>
      </c>
      <c r="V169" s="33" t="s">
        <v>151</v>
      </c>
      <c r="W169" s="105" t="s">
        <v>152</v>
      </c>
      <c r="X169" s="33" t="s">
        <v>153</v>
      </c>
      <c r="Y169" s="33" t="s">
        <v>154</v>
      </c>
      <c r="Z169" s="33" t="s">
        <v>155</v>
      </c>
      <c r="AA169" s="33" t="s">
        <v>156</v>
      </c>
      <c r="AB169" s="105" t="s">
        <v>157</v>
      </c>
      <c r="AC169" s="33" t="s">
        <v>290</v>
      </c>
      <c r="AD169" s="33" t="s">
        <v>291</v>
      </c>
      <c r="AE169" s="33" t="s">
        <v>292</v>
      </c>
      <c r="AF169" s="33" t="s">
        <v>293</v>
      </c>
      <c r="AG169" s="105" t="s">
        <v>294</v>
      </c>
      <c r="AH169" s="33" t="s">
        <v>323</v>
      </c>
      <c r="AI169" s="33" t="s">
        <v>324</v>
      </c>
      <c r="AJ169" s="33" t="s">
        <v>325</v>
      </c>
      <c r="AK169" s="33" t="s">
        <v>326</v>
      </c>
      <c r="AL169" s="105" t="s">
        <v>327</v>
      </c>
    </row>
    <row r="170" spans="1:38" outlineLevel="1" x14ac:dyDescent="0.25">
      <c r="A170" s="293"/>
      <c r="B170" s="510" t="s">
        <v>208</v>
      </c>
      <c r="C170" s="511"/>
      <c r="D170" s="297">
        <f>-(22+5.3+0.6+20.9)</f>
        <v>-48.8</v>
      </c>
      <c r="E170" s="297">
        <v>-45.1</v>
      </c>
      <c r="F170" s="297">
        <v>-39.6</v>
      </c>
      <c r="G170" s="297">
        <f>-146.2+133.5</f>
        <v>-12.699999999999989</v>
      </c>
      <c r="H170" s="445">
        <f>SUM(D170:G170)</f>
        <v>-146.19999999999999</v>
      </c>
      <c r="I170" s="297">
        <v>-7.1</v>
      </c>
      <c r="J170" s="297">
        <v>0.1</v>
      </c>
      <c r="K170" s="300">
        <f>-K23</f>
        <v>-78.099999999999994</v>
      </c>
      <c r="L170" s="398">
        <f>-0.11*1169</f>
        <v>-128.59</v>
      </c>
      <c r="M170" s="38"/>
      <c r="N170" s="37">
        <f>-N23</f>
        <v>-65.33898020839105</v>
      </c>
      <c r="O170" s="37">
        <f>-O23</f>
        <v>-68.280073879085606</v>
      </c>
      <c r="P170" s="37">
        <f>-P23</f>
        <v>-70.476062818766394</v>
      </c>
      <c r="Q170" s="37">
        <f>-Q23</f>
        <v>-69.530079437216983</v>
      </c>
      <c r="R170" s="38"/>
      <c r="S170" s="37">
        <f>-S23</f>
        <v>-74.340706702769424</v>
      </c>
      <c r="T170" s="37">
        <f>-T23</f>
        <v>-71.605717630865286</v>
      </c>
      <c r="U170" s="37">
        <f>-U23</f>
        <v>-71.16272239219947</v>
      </c>
      <c r="V170" s="37">
        <f>-V23</f>
        <v>-73.152085569883056</v>
      </c>
      <c r="W170" s="38"/>
      <c r="X170" s="37">
        <f>-X23</f>
        <v>-78.162197754467343</v>
      </c>
      <c r="Y170" s="37">
        <f>-Y23</f>
        <v>-74.995480681594415</v>
      </c>
      <c r="Z170" s="37">
        <f>-Z23</f>
        <v>-74.490507214957262</v>
      </c>
      <c r="AA170" s="37">
        <f>-AA23</f>
        <v>-77.142945661309668</v>
      </c>
      <c r="AB170" s="38"/>
      <c r="AC170" s="37">
        <f>-AC23</f>
        <v>-81.427720890074681</v>
      </c>
      <c r="AD170" s="37">
        <f>-AD23</f>
        <v>-78.128252653557098</v>
      </c>
      <c r="AE170" s="37">
        <f>-AE23</f>
        <v>-78.160838607021915</v>
      </c>
      <c r="AF170" s="37">
        <f>-AF23</f>
        <v>-80.565445468791751</v>
      </c>
      <c r="AG170" s="38"/>
      <c r="AH170" s="37">
        <f>-AH23</f>
        <v>-85.601982526094986</v>
      </c>
      <c r="AI170" s="37">
        <f>-AI23</f>
        <v>-82.114855157740422</v>
      </c>
      <c r="AJ170" s="37">
        <f>-AJ23</f>
        <v>-82.167705161694187</v>
      </c>
      <c r="AK170" s="37">
        <f>-AK23</f>
        <v>-85.217449821110577</v>
      </c>
      <c r="AL170" s="38"/>
    </row>
    <row r="171" spans="1:38" outlineLevel="1" x14ac:dyDescent="0.25">
      <c r="A171" s="293"/>
      <c r="B171" s="82" t="s">
        <v>207</v>
      </c>
      <c r="C171" s="83"/>
      <c r="D171" s="297">
        <f>-(5.3+0.5)</f>
        <v>-5.8</v>
      </c>
      <c r="E171" s="297">
        <v>-4.3</v>
      </c>
      <c r="F171" s="297">
        <v>-2.2999999999999998</v>
      </c>
      <c r="G171" s="297">
        <v>-0.2</v>
      </c>
      <c r="H171" s="445">
        <f t="shared" ref="H171:H174" si="689">SUM(D171:G171)</f>
        <v>-12.599999999999998</v>
      </c>
      <c r="I171" s="297">
        <v>-5.6</v>
      </c>
      <c r="J171" s="297">
        <v>-6.8</v>
      </c>
      <c r="K171" s="300">
        <v>-35.04</v>
      </c>
      <c r="L171" s="398">
        <v>0</v>
      </c>
      <c r="M171" s="38"/>
      <c r="N171" s="37"/>
      <c r="O171" s="37"/>
      <c r="P171" s="37"/>
      <c r="Q171" s="37"/>
      <c r="R171" s="38"/>
      <c r="S171" s="37"/>
      <c r="T171" s="37"/>
      <c r="U171" s="37"/>
      <c r="V171" s="37"/>
      <c r="W171" s="38"/>
      <c r="X171" s="37"/>
      <c r="Y171" s="37"/>
      <c r="Z171" s="37"/>
      <c r="AA171" s="37"/>
      <c r="AB171" s="38"/>
      <c r="AC171" s="37"/>
      <c r="AD171" s="37"/>
      <c r="AE171" s="37"/>
      <c r="AF171" s="37"/>
      <c r="AG171" s="38"/>
      <c r="AH171" s="37"/>
      <c r="AI171" s="37"/>
      <c r="AJ171" s="37"/>
      <c r="AK171" s="37"/>
      <c r="AL171" s="38"/>
    </row>
    <row r="172" spans="1:38" outlineLevel="1" x14ac:dyDescent="0.25">
      <c r="A172" s="293"/>
      <c r="B172" s="510" t="s">
        <v>345</v>
      </c>
      <c r="C172" s="511"/>
      <c r="D172" s="297">
        <f>-(60.6-0.3)</f>
        <v>-60.300000000000004</v>
      </c>
      <c r="E172" s="297">
        <v>-68.2</v>
      </c>
      <c r="F172" s="297">
        <v>-69</v>
      </c>
      <c r="G172" s="297">
        <f>-262+197.5</f>
        <v>-64.5</v>
      </c>
      <c r="H172" s="445">
        <f>SUM(D172:G172)</f>
        <v>-262</v>
      </c>
      <c r="I172" s="297">
        <v>-58.9</v>
      </c>
      <c r="J172" s="297">
        <v>-60.1</v>
      </c>
      <c r="K172" s="300">
        <v>-60.54</v>
      </c>
      <c r="L172" s="398">
        <f>-0.05*1169</f>
        <v>-58.45</v>
      </c>
      <c r="M172" s="38"/>
      <c r="N172" s="37"/>
      <c r="O172" s="37"/>
      <c r="P172" s="37"/>
      <c r="Q172" s="37"/>
      <c r="R172" s="38"/>
      <c r="S172" s="37"/>
      <c r="T172" s="37"/>
      <c r="U172" s="37"/>
      <c r="V172" s="37"/>
      <c r="W172" s="38"/>
      <c r="X172" s="37"/>
      <c r="Y172" s="37"/>
      <c r="Z172" s="37"/>
      <c r="AA172" s="37"/>
      <c r="AB172" s="38"/>
      <c r="AC172" s="37"/>
      <c r="AD172" s="37"/>
      <c r="AE172" s="37"/>
      <c r="AF172" s="37"/>
      <c r="AG172" s="38"/>
      <c r="AH172" s="37"/>
      <c r="AI172" s="37"/>
      <c r="AJ172" s="37"/>
      <c r="AK172" s="37"/>
      <c r="AL172" s="38"/>
    </row>
    <row r="173" spans="1:38" outlineLevel="1" x14ac:dyDescent="0.25">
      <c r="A173" s="293"/>
      <c r="B173" s="82" t="s">
        <v>209</v>
      </c>
      <c r="C173" s="83"/>
      <c r="D173" s="297">
        <v>-23.1</v>
      </c>
      <c r="E173" s="297">
        <v>-23.8</v>
      </c>
      <c r="F173" s="297">
        <v>-14.4</v>
      </c>
      <c r="G173" s="297">
        <v>0</v>
      </c>
      <c r="H173" s="445">
        <f t="shared" si="689"/>
        <v>-61.300000000000004</v>
      </c>
      <c r="I173" s="297"/>
      <c r="J173" s="297"/>
      <c r="K173" s="295"/>
      <c r="L173" s="37"/>
      <c r="M173" s="38"/>
      <c r="N173" s="37"/>
      <c r="O173" s="37"/>
      <c r="P173" s="37"/>
      <c r="Q173" s="37"/>
      <c r="R173" s="38"/>
      <c r="S173" s="37"/>
      <c r="T173" s="37"/>
      <c r="U173" s="37"/>
      <c r="V173" s="37"/>
      <c r="W173" s="38"/>
      <c r="X173" s="37"/>
      <c r="Y173" s="37"/>
      <c r="Z173" s="37"/>
      <c r="AA173" s="37"/>
      <c r="AB173" s="38"/>
      <c r="AC173" s="37"/>
      <c r="AD173" s="37"/>
      <c r="AE173" s="37"/>
      <c r="AF173" s="37"/>
      <c r="AG173" s="38"/>
      <c r="AH173" s="37"/>
      <c r="AI173" s="37"/>
      <c r="AJ173" s="37"/>
      <c r="AK173" s="37"/>
      <c r="AL173" s="38"/>
    </row>
    <row r="174" spans="1:38" ht="17.25" outlineLevel="1" x14ac:dyDescent="0.4">
      <c r="A174" s="293"/>
      <c r="B174" s="82" t="s">
        <v>257</v>
      </c>
      <c r="C174" s="83"/>
      <c r="D174" s="392">
        <v>0</v>
      </c>
      <c r="E174" s="392">
        <v>0</v>
      </c>
      <c r="F174" s="392">
        <v>0</v>
      </c>
      <c r="G174" s="392">
        <v>0</v>
      </c>
      <c r="H174" s="446">
        <f t="shared" si="689"/>
        <v>0</v>
      </c>
      <c r="I174" s="392">
        <v>0</v>
      </c>
      <c r="J174" s="392">
        <v>0</v>
      </c>
      <c r="K174" s="310">
        <v>0</v>
      </c>
      <c r="L174" s="310">
        <v>0</v>
      </c>
      <c r="M174" s="38"/>
      <c r="N174" s="68">
        <f>AVERAGE(D175,E175,F175,G175,I175,J175,K175,L175)-N170</f>
        <v>-57.313519791608925</v>
      </c>
      <c r="O174" s="68">
        <f>AVERAGE(E175,F175,G175,I175,J175,K175,L175,N175)-O170</f>
        <v>-52.453988620914387</v>
      </c>
      <c r="P174" s="68">
        <f>AVERAGE(F175,G175,I175,J175,K175,L175,N175,O175)-P170</f>
        <v>-47.67475749373358</v>
      </c>
      <c r="Q174" s="68">
        <f>AVERAGE(G175,I175,J175,K175,L175,N175,O175,P175)-Q170</f>
        <v>-47.727093414345489</v>
      </c>
      <c r="R174" s="38"/>
      <c r="S174" s="68">
        <f>AVERAGE(I175,J175,K175,L175,N175,O175,P175,Q175)-S170</f>
        <v>-47.898612755238375</v>
      </c>
      <c r="T174" s="68">
        <f>AVERAGE(J175,K175,L175,N175,O175,P175,Q175,S175)-T170</f>
        <v>-56.963516759393485</v>
      </c>
      <c r="U174" s="68">
        <f>AVERAGE(K175,L175,N175,O175,P175,Q175,S175,T175)-U170</f>
        <v>-65.127666296841653</v>
      </c>
      <c r="V174" s="68">
        <f>AVERAGE(L175,N175,O175,P175,Q175,S175,T175,U175)-V170</f>
        <v>-58.464601705288217</v>
      </c>
      <c r="W174" s="38"/>
      <c r="X174" s="68">
        <f>AVERAGE(N175,O175,P175,Q175,S175,T175,U175,V175)-X170</f>
        <v>-46.526575430100337</v>
      </c>
      <c r="Y174" s="68">
        <f>AVERAGE(O175,P175,Q175,S175,T175,U175,V175,X175)-Y170</f>
        <v>-49.947826651044238</v>
      </c>
      <c r="Z174" s="68">
        <f>AVERAGE(P175,Q175,S175,T175,U175,V175,X175,Y175)-Z170</f>
        <v>-50.978955721761196</v>
      </c>
      <c r="AA174" s="68">
        <f>AVERAGE(Q175,S175,T175,U175,V175,X175,Y175,Z175)-AA170</f>
        <v>-49.241347603436097</v>
      </c>
      <c r="AB174" s="38"/>
      <c r="AC174" s="68">
        <f>AVERAGE(S175,T175,U175,V175,X175,Y175,Z175,AA175)-AC170</f>
        <v>-46.097462426318998</v>
      </c>
      <c r="AD174" s="68">
        <f>AVERAGE(T175,U175,V175,X175,Y175,Z175,AA175,AC175)-AD170</f>
        <v>-50.057663645134824</v>
      </c>
      <c r="AE174" s="68">
        <f>AVERAGE(U175,V175,X175,Y175,Z175,AA175,AC175,AD175)-AE170</f>
        <v>-49.977162930224139</v>
      </c>
      <c r="AF174" s="68">
        <f>AVERAGE(V175,X175,Y175,Z175,AA175,AC175,AD175,AE175)-AF170</f>
        <v>-46.553507674479945</v>
      </c>
      <c r="AG174" s="38"/>
      <c r="AH174" s="68">
        <f>AVERAGE(X175,Y175,Z175,AA175,AC175,AD175,AE175,AF175)-AH170</f>
        <v>-40.954753850689272</v>
      </c>
      <c r="AI174" s="68">
        <f>AVERAGE(Y175,Z175,AA175,AC175,AD175,AE175,AF175,AH175)-AI170</f>
        <v>-44.675376618070885</v>
      </c>
      <c r="AJ174" s="68">
        <f>AVERAGE(Z175,AA175,AC175,AD175,AE175,AF175,AH175,AI175)-AJ170</f>
        <v>-44.853392169513711</v>
      </c>
      <c r="AK174" s="68">
        <f>AVERAGE(AA175,AC175,AD175,AE175,AF175,AH175,AI175,AJ175)-AK170</f>
        <v>-41.997601809408494</v>
      </c>
      <c r="AL174" s="38"/>
    </row>
    <row r="175" spans="1:38" s="20" customFormat="1" outlineLevel="1" x14ac:dyDescent="0.25">
      <c r="A175" s="308"/>
      <c r="B175" s="337" t="s">
        <v>210</v>
      </c>
      <c r="C175" s="91"/>
      <c r="D175" s="189">
        <f t="shared" ref="D175:L175" si="690">SUM(D170:D174)</f>
        <v>-138</v>
      </c>
      <c r="E175" s="189">
        <f t="shared" si="690"/>
        <v>-141.4</v>
      </c>
      <c r="F175" s="189">
        <f t="shared" si="690"/>
        <v>-125.30000000000001</v>
      </c>
      <c r="G175" s="189">
        <f t="shared" si="690"/>
        <v>-77.399999999999991</v>
      </c>
      <c r="H175" s="190">
        <f t="shared" si="690"/>
        <v>-482.09999999999997</v>
      </c>
      <c r="I175" s="189">
        <f t="shared" si="690"/>
        <v>-71.599999999999994</v>
      </c>
      <c r="J175" s="189">
        <f t="shared" si="690"/>
        <v>-66.8</v>
      </c>
      <c r="K175" s="189">
        <f t="shared" si="690"/>
        <v>-173.67999999999998</v>
      </c>
      <c r="L175" s="189">
        <f t="shared" si="690"/>
        <v>-187.04000000000002</v>
      </c>
      <c r="M175" s="45"/>
      <c r="N175" s="189">
        <f>SUM(N170:N174)</f>
        <v>-122.65249999999997</v>
      </c>
      <c r="O175" s="189">
        <f>SUM(O170:O174)</f>
        <v>-120.73406249999999</v>
      </c>
      <c r="P175" s="189">
        <f>SUM(P170:P174)</f>
        <v>-118.15082031249997</v>
      </c>
      <c r="Q175" s="189">
        <f>SUM(Q170:Q174)</f>
        <v>-117.25717285156247</v>
      </c>
      <c r="R175" s="45"/>
      <c r="S175" s="189">
        <f>SUM(S170:S174)</f>
        <v>-122.2393194580078</v>
      </c>
      <c r="T175" s="189">
        <f>SUM(T170:T174)</f>
        <v>-128.56923439025877</v>
      </c>
      <c r="U175" s="189">
        <f>SUM(U170:U174)</f>
        <v>-136.29038868904112</v>
      </c>
      <c r="V175" s="189">
        <f>SUM(V170:V174)</f>
        <v>-131.61668727517127</v>
      </c>
      <c r="W175" s="45"/>
      <c r="X175" s="189">
        <f>SUM(X170:X174)</f>
        <v>-124.68877318456768</v>
      </c>
      <c r="Y175" s="189">
        <f>SUM(Y170:Y174)</f>
        <v>-124.94330733263865</v>
      </c>
      <c r="Z175" s="189">
        <f>SUM(Z170:Z174)</f>
        <v>-125.46946293671846</v>
      </c>
      <c r="AA175" s="189">
        <f>SUM(AA170:AA174)</f>
        <v>-126.38429326474576</v>
      </c>
      <c r="AB175" s="45"/>
      <c r="AC175" s="189">
        <f>SUM(AC170:AC174)</f>
        <v>-127.52518331639368</v>
      </c>
      <c r="AD175" s="189">
        <f>SUM(AD170:AD174)</f>
        <v>-128.18591629869192</v>
      </c>
      <c r="AE175" s="189">
        <f>SUM(AE170:AE174)</f>
        <v>-128.13800153724605</v>
      </c>
      <c r="AF175" s="189">
        <f>SUM(AF170:AF174)</f>
        <v>-127.1189531432717</v>
      </c>
      <c r="AG175" s="45"/>
      <c r="AH175" s="189">
        <f>SUM(AH170:AH174)</f>
        <v>-126.55673637678426</v>
      </c>
      <c r="AI175" s="189">
        <f>SUM(AI170:AI174)</f>
        <v>-126.79023177581131</v>
      </c>
      <c r="AJ175" s="189">
        <f>SUM(AJ170:AJ174)</f>
        <v>-127.0210973312079</v>
      </c>
      <c r="AK175" s="189">
        <f>SUM(AK170:AK174)</f>
        <v>-127.21505163051907</v>
      </c>
      <c r="AL175" s="45"/>
    </row>
    <row r="176" spans="1:38" ht="17.25" outlineLevel="1" x14ac:dyDescent="0.4">
      <c r="A176" s="293"/>
      <c r="B176" s="82" t="s">
        <v>213</v>
      </c>
      <c r="C176" s="83"/>
      <c r="D176" s="191">
        <v>0</v>
      </c>
      <c r="E176" s="191">
        <v>0</v>
      </c>
      <c r="F176" s="191">
        <v>0</v>
      </c>
      <c r="G176" s="191">
        <v>0</v>
      </c>
      <c r="H176" s="38"/>
      <c r="I176" s="191">
        <v>0</v>
      </c>
      <c r="J176" s="191">
        <v>0</v>
      </c>
      <c r="K176" s="191">
        <v>0</v>
      </c>
      <c r="L176" s="191">
        <v>0</v>
      </c>
      <c r="M176" s="38"/>
      <c r="N176" s="191">
        <v>0</v>
      </c>
      <c r="O176" s="191">
        <v>0</v>
      </c>
      <c r="P176" s="191">
        <v>0</v>
      </c>
      <c r="Q176" s="191">
        <f>-Q26/13</f>
        <v>-97.709287581345436</v>
      </c>
      <c r="R176" s="38"/>
      <c r="S176" s="191">
        <v>0</v>
      </c>
      <c r="T176" s="191">
        <v>0</v>
      </c>
      <c r="U176" s="191">
        <v>0</v>
      </c>
      <c r="V176" s="191">
        <v>0</v>
      </c>
      <c r="W176" s="38"/>
      <c r="X176" s="191">
        <v>0</v>
      </c>
      <c r="Y176" s="191">
        <v>0</v>
      </c>
      <c r="Z176" s="191">
        <v>0</v>
      </c>
      <c r="AA176" s="191">
        <v>0</v>
      </c>
      <c r="AB176" s="38"/>
      <c r="AC176" s="191">
        <v>0</v>
      </c>
      <c r="AD176" s="191">
        <v>0</v>
      </c>
      <c r="AE176" s="191">
        <v>0</v>
      </c>
      <c r="AF176" s="191">
        <v>0</v>
      </c>
      <c r="AG176" s="38"/>
      <c r="AH176" s="191">
        <v>0</v>
      </c>
      <c r="AI176" s="191">
        <v>0</v>
      </c>
      <c r="AJ176" s="191">
        <v>0</v>
      </c>
      <c r="AK176" s="191">
        <v>0</v>
      </c>
      <c r="AL176" s="38"/>
    </row>
    <row r="177" spans="1:38" s="20" customFormat="1" outlineLevel="1" x14ac:dyDescent="0.25">
      <c r="A177" s="308"/>
      <c r="B177" s="337" t="s">
        <v>211</v>
      </c>
      <c r="C177" s="91"/>
      <c r="D177" s="189">
        <f t="shared" ref="D177" si="691">-D175+D176</f>
        <v>138</v>
      </c>
      <c r="E177" s="189">
        <f t="shared" ref="E177:G177" si="692">-E175+E176</f>
        <v>141.4</v>
      </c>
      <c r="F177" s="189">
        <f t="shared" si="692"/>
        <v>125.30000000000001</v>
      </c>
      <c r="G177" s="189">
        <f t="shared" si="692"/>
        <v>77.399999999999991</v>
      </c>
      <c r="H177" s="45"/>
      <c r="I177" s="189">
        <f t="shared" ref="I177:L177" si="693">-I175+I176</f>
        <v>71.599999999999994</v>
      </c>
      <c r="J177" s="189">
        <f t="shared" si="693"/>
        <v>66.8</v>
      </c>
      <c r="K177" s="189">
        <f t="shared" si="693"/>
        <v>173.67999999999998</v>
      </c>
      <c r="L177" s="189">
        <f t="shared" si="693"/>
        <v>187.04000000000002</v>
      </c>
      <c r="M177" s="45"/>
      <c r="N177" s="189">
        <f t="shared" ref="N177:Q177" si="694">-N175+N176</f>
        <v>122.65249999999997</v>
      </c>
      <c r="O177" s="189">
        <f t="shared" si="694"/>
        <v>120.73406249999999</v>
      </c>
      <c r="P177" s="189">
        <f t="shared" si="694"/>
        <v>118.15082031249997</v>
      </c>
      <c r="Q177" s="189">
        <f t="shared" si="694"/>
        <v>19.547885270217037</v>
      </c>
      <c r="R177" s="45"/>
      <c r="S177" s="189">
        <f t="shared" ref="S177:V177" si="695">-S175+S176</f>
        <v>122.2393194580078</v>
      </c>
      <c r="T177" s="189">
        <f t="shared" si="695"/>
        <v>128.56923439025877</v>
      </c>
      <c r="U177" s="189">
        <f t="shared" si="695"/>
        <v>136.29038868904112</v>
      </c>
      <c r="V177" s="189">
        <f t="shared" si="695"/>
        <v>131.61668727517127</v>
      </c>
      <c r="W177" s="45"/>
      <c r="X177" s="189">
        <f t="shared" ref="X177:AA177" si="696">-X175+X176</f>
        <v>124.68877318456768</v>
      </c>
      <c r="Y177" s="189">
        <f t="shared" si="696"/>
        <v>124.94330733263865</v>
      </c>
      <c r="Z177" s="189">
        <f t="shared" si="696"/>
        <v>125.46946293671846</v>
      </c>
      <c r="AA177" s="189">
        <f t="shared" si="696"/>
        <v>126.38429326474576</v>
      </c>
      <c r="AB177" s="45"/>
      <c r="AC177" s="189">
        <f t="shared" ref="AC177:AF177" si="697">-AC175+AC176</f>
        <v>127.52518331639368</v>
      </c>
      <c r="AD177" s="189">
        <f t="shared" si="697"/>
        <v>128.18591629869192</v>
      </c>
      <c r="AE177" s="189">
        <f t="shared" si="697"/>
        <v>128.13800153724605</v>
      </c>
      <c r="AF177" s="189">
        <f t="shared" si="697"/>
        <v>127.1189531432717</v>
      </c>
      <c r="AG177" s="45"/>
      <c r="AH177" s="189">
        <f t="shared" ref="AH177:AK177" si="698">-AH175+AH176</f>
        <v>126.55673637678426</v>
      </c>
      <c r="AI177" s="189">
        <f t="shared" si="698"/>
        <v>126.79023177581131</v>
      </c>
      <c r="AJ177" s="189">
        <f t="shared" si="698"/>
        <v>127.0210973312079</v>
      </c>
      <c r="AK177" s="189">
        <f t="shared" si="698"/>
        <v>127.21505163051907</v>
      </c>
      <c r="AL177" s="45"/>
    </row>
    <row r="178" spans="1:38" outlineLevel="1" x14ac:dyDescent="0.25">
      <c r="A178" s="293"/>
      <c r="B178" s="82" t="s">
        <v>212</v>
      </c>
      <c r="C178" s="83"/>
      <c r="D178" s="187">
        <v>0</v>
      </c>
      <c r="E178" s="295">
        <f>-0.02*E40</f>
        <v>-25.014000000000003</v>
      </c>
      <c r="F178" s="295">
        <f>0.49*F40</f>
        <v>599.27</v>
      </c>
      <c r="G178" s="295">
        <v>0</v>
      </c>
      <c r="H178" s="296"/>
      <c r="I178" s="295">
        <v>0</v>
      </c>
      <c r="J178" s="295">
        <v>0</v>
      </c>
      <c r="K178" s="295">
        <v>0</v>
      </c>
      <c r="L178" s="295">
        <v>0</v>
      </c>
      <c r="M178" s="38"/>
      <c r="N178" s="70">
        <v>0</v>
      </c>
      <c r="O178" s="70">
        <v>0</v>
      </c>
      <c r="P178" s="70">
        <v>0</v>
      </c>
      <c r="Q178" s="70">
        <v>0</v>
      </c>
      <c r="R178" s="38"/>
      <c r="S178" s="70">
        <v>0</v>
      </c>
      <c r="T178" s="70">
        <v>0</v>
      </c>
      <c r="U178" s="70">
        <v>0</v>
      </c>
      <c r="V178" s="70">
        <v>0</v>
      </c>
      <c r="W178" s="38"/>
      <c r="X178" s="70">
        <v>0</v>
      </c>
      <c r="Y178" s="70">
        <v>0</v>
      </c>
      <c r="Z178" s="70">
        <v>0</v>
      </c>
      <c r="AA178" s="70">
        <v>0</v>
      </c>
      <c r="AB178" s="38"/>
      <c r="AC178" s="70">
        <v>0</v>
      </c>
      <c r="AD178" s="70">
        <v>0</v>
      </c>
      <c r="AE178" s="70">
        <v>0</v>
      </c>
      <c r="AF178" s="70">
        <v>0</v>
      </c>
      <c r="AG178" s="38"/>
      <c r="AH178" s="70">
        <v>0</v>
      </c>
      <c r="AI178" s="70">
        <v>0</v>
      </c>
      <c r="AJ178" s="70">
        <v>0</v>
      </c>
      <c r="AK178" s="70">
        <v>0</v>
      </c>
      <c r="AL178" s="38"/>
    </row>
    <row r="179" spans="1:38" outlineLevel="1" x14ac:dyDescent="0.25">
      <c r="A179" s="293"/>
      <c r="B179" s="510" t="s">
        <v>219</v>
      </c>
      <c r="C179" s="511"/>
      <c r="D179" s="187">
        <v>-41.449999999998646</v>
      </c>
      <c r="E179" s="37">
        <v>79.193999999999548</v>
      </c>
      <c r="F179" s="37">
        <v>-55.109999999999197</v>
      </c>
      <c r="G179" s="37">
        <v>30</v>
      </c>
      <c r="H179" s="38"/>
      <c r="I179" s="37">
        <v>11</v>
      </c>
      <c r="J179" s="37">
        <v>23</v>
      </c>
      <c r="K179" s="37">
        <f>0.03*K40</f>
        <v>35.055</v>
      </c>
      <c r="L179" s="398">
        <f>0.04*1169</f>
        <v>46.76</v>
      </c>
      <c r="M179" s="38"/>
      <c r="N179" s="37">
        <f>+N177*N180</f>
        <v>24.530499999999996</v>
      </c>
      <c r="O179" s="37">
        <f>+O177*O180</f>
        <v>24.146812499999999</v>
      </c>
      <c r="P179" s="37">
        <f t="shared" ref="P179" si="699">+P177*P180</f>
        <v>23.630164062499997</v>
      </c>
      <c r="Q179" s="37">
        <f t="shared" ref="Q179" si="700">+Q177*Q180</f>
        <v>3.9095770540434076</v>
      </c>
      <c r="R179" s="38"/>
      <c r="S179" s="37">
        <f>+S177*S180</f>
        <v>24.44786389160156</v>
      </c>
      <c r="T179" s="37">
        <f>+T177*T180</f>
        <v>25.713846878051754</v>
      </c>
      <c r="U179" s="37">
        <f t="shared" ref="U179" si="701">+U177*U180</f>
        <v>27.258077737808225</v>
      </c>
      <c r="V179" s="37">
        <f t="shared" ref="V179" si="702">+V177*V180</f>
        <v>26.323337455034256</v>
      </c>
      <c r="W179" s="38"/>
      <c r="X179" s="37">
        <f>+X177*X180</f>
        <v>24.937754636913539</v>
      </c>
      <c r="Y179" s="37">
        <f>+Y177*Y180</f>
        <v>24.988661466527731</v>
      </c>
      <c r="Z179" s="37">
        <f t="shared" ref="Z179" si="703">+Z177*Z180</f>
        <v>25.093892587343692</v>
      </c>
      <c r="AA179" s="37">
        <f t="shared" ref="AA179" si="704">+AA177*AA180</f>
        <v>25.276858652949155</v>
      </c>
      <c r="AB179" s="38"/>
      <c r="AC179" s="37">
        <f>+AC177*AC180</f>
        <v>25.505036663278737</v>
      </c>
      <c r="AD179" s="37">
        <f>+AD177*AD180</f>
        <v>25.637183259738386</v>
      </c>
      <c r="AE179" s="37">
        <f t="shared" ref="AE179:AF179" si="705">+AE177*AE180</f>
        <v>25.627600307449214</v>
      </c>
      <c r="AF179" s="37">
        <f t="shared" si="705"/>
        <v>25.423790628654341</v>
      </c>
      <c r="AG179" s="38"/>
      <c r="AH179" s="37">
        <f>+AH177*AH180</f>
        <v>25.311347275356852</v>
      </c>
      <c r="AI179" s="37">
        <f>+AI177*AI180</f>
        <v>25.358046355162262</v>
      </c>
      <c r="AJ179" s="37">
        <f t="shared" ref="AJ179:AK179" si="706">+AJ177*AJ180</f>
        <v>25.404219466241582</v>
      </c>
      <c r="AK179" s="37">
        <f t="shared" si="706"/>
        <v>25.443010326103817</v>
      </c>
      <c r="AL179" s="38"/>
    </row>
    <row r="180" spans="1:38" outlineLevel="1" x14ac:dyDescent="0.25">
      <c r="A180" s="293"/>
      <c r="B180" s="93" t="s">
        <v>220</v>
      </c>
      <c r="C180" s="156"/>
      <c r="D180" s="256">
        <f t="shared" ref="D180:G180" si="707">D179/D177</f>
        <v>-0.30036231884056991</v>
      </c>
      <c r="E180" s="256">
        <f t="shared" si="707"/>
        <v>0.56007072135784686</v>
      </c>
      <c r="F180" s="256">
        <f t="shared" si="707"/>
        <v>-0.43982442138866074</v>
      </c>
      <c r="G180" s="256">
        <f t="shared" si="707"/>
        <v>0.38759689922480622</v>
      </c>
      <c r="H180" s="80"/>
      <c r="I180" s="256">
        <f t="shared" ref="I180:L180" si="708">I179/I177</f>
        <v>0.15363128491620112</v>
      </c>
      <c r="J180" s="256">
        <f t="shared" si="708"/>
        <v>0.34431137724550898</v>
      </c>
      <c r="K180" s="256">
        <f t="shared" si="708"/>
        <v>0.20183671119299865</v>
      </c>
      <c r="L180" s="256">
        <f t="shared" si="708"/>
        <v>0.24999999999999997</v>
      </c>
      <c r="M180" s="80"/>
      <c r="N180" s="257">
        <v>0.2</v>
      </c>
      <c r="O180" s="257">
        <v>0.2</v>
      </c>
      <c r="P180" s="257">
        <v>0.2</v>
      </c>
      <c r="Q180" s="257">
        <v>0.2</v>
      </c>
      <c r="R180" s="80"/>
      <c r="S180" s="257">
        <v>0.2</v>
      </c>
      <c r="T180" s="257">
        <v>0.2</v>
      </c>
      <c r="U180" s="257">
        <v>0.2</v>
      </c>
      <c r="V180" s="257">
        <v>0.2</v>
      </c>
      <c r="W180" s="80"/>
      <c r="X180" s="257">
        <v>0.2</v>
      </c>
      <c r="Y180" s="257">
        <v>0.2</v>
      </c>
      <c r="Z180" s="257">
        <v>0.2</v>
      </c>
      <c r="AA180" s="257">
        <v>0.2</v>
      </c>
      <c r="AB180" s="80"/>
      <c r="AC180" s="257">
        <v>0.2</v>
      </c>
      <c r="AD180" s="257">
        <v>0.2</v>
      </c>
      <c r="AE180" s="257">
        <v>0.2</v>
      </c>
      <c r="AF180" s="257">
        <v>0.2</v>
      </c>
      <c r="AG180" s="80"/>
      <c r="AH180" s="257">
        <v>0.2</v>
      </c>
      <c r="AI180" s="257">
        <v>0.2</v>
      </c>
      <c r="AJ180" s="257">
        <v>0.2</v>
      </c>
      <c r="AK180" s="257">
        <v>0.2</v>
      </c>
      <c r="AL180" s="80"/>
    </row>
    <row r="181" spans="1:38" x14ac:dyDescent="0.25">
      <c r="A181" s="293"/>
      <c r="B181" s="19"/>
      <c r="C181" s="19"/>
      <c r="D181" s="263"/>
      <c r="E181" s="120"/>
      <c r="F181" s="120"/>
      <c r="G181" s="120"/>
      <c r="H181" s="120"/>
      <c r="I181" s="120"/>
      <c r="J181" s="120"/>
      <c r="K181" s="120"/>
      <c r="L181" s="120"/>
      <c r="M181" s="120"/>
      <c r="N181" s="28"/>
      <c r="P181" s="3"/>
      <c r="Q181" s="3"/>
      <c r="R181" s="120"/>
      <c r="U181" s="3"/>
      <c r="V181" s="3"/>
      <c r="W181" s="120"/>
      <c r="Z181" s="3"/>
      <c r="AA181" s="3"/>
      <c r="AB181" s="120"/>
      <c r="AE181" s="3"/>
      <c r="AF181" s="3"/>
      <c r="AG181" s="120"/>
      <c r="AJ181" s="3"/>
      <c r="AK181" s="3"/>
      <c r="AL181" s="120"/>
    </row>
    <row r="182" spans="1:38" ht="15.75" x14ac:dyDescent="0.25">
      <c r="A182" s="293"/>
      <c r="B182" s="512" t="s">
        <v>121</v>
      </c>
      <c r="C182" s="513"/>
      <c r="D182" s="34" t="s">
        <v>110</v>
      </c>
      <c r="E182" s="34" t="s">
        <v>282</v>
      </c>
      <c r="F182" s="34" t="s">
        <v>284</v>
      </c>
      <c r="G182" s="34" t="s">
        <v>124</v>
      </c>
      <c r="H182" s="101" t="s">
        <v>124</v>
      </c>
      <c r="I182" s="34" t="s">
        <v>125</v>
      </c>
      <c r="J182" s="34" t="s">
        <v>126</v>
      </c>
      <c r="K182" s="34" t="s">
        <v>127</v>
      </c>
      <c r="L182" s="36" t="s">
        <v>128</v>
      </c>
      <c r="M182" s="104" t="s">
        <v>128</v>
      </c>
      <c r="N182" s="36" t="s">
        <v>129</v>
      </c>
      <c r="O182" s="36" t="s">
        <v>130</v>
      </c>
      <c r="P182" s="36" t="s">
        <v>131</v>
      </c>
      <c r="Q182" s="36" t="s">
        <v>132</v>
      </c>
      <c r="R182" s="104" t="s">
        <v>132</v>
      </c>
      <c r="S182" s="36" t="s">
        <v>133</v>
      </c>
      <c r="T182" s="36" t="s">
        <v>134</v>
      </c>
      <c r="U182" s="36" t="s">
        <v>135</v>
      </c>
      <c r="V182" s="36" t="s">
        <v>136</v>
      </c>
      <c r="W182" s="104" t="s">
        <v>136</v>
      </c>
      <c r="X182" s="36" t="s">
        <v>137</v>
      </c>
      <c r="Y182" s="36" t="s">
        <v>138</v>
      </c>
      <c r="Z182" s="36" t="s">
        <v>139</v>
      </c>
      <c r="AA182" s="36" t="s">
        <v>140</v>
      </c>
      <c r="AB182" s="104" t="s">
        <v>140</v>
      </c>
      <c r="AC182" s="36" t="s">
        <v>286</v>
      </c>
      <c r="AD182" s="36" t="s">
        <v>287</v>
      </c>
      <c r="AE182" s="36" t="s">
        <v>288</v>
      </c>
      <c r="AF182" s="36" t="s">
        <v>289</v>
      </c>
      <c r="AG182" s="104" t="s">
        <v>289</v>
      </c>
      <c r="AH182" s="36" t="s">
        <v>319</v>
      </c>
      <c r="AI182" s="36" t="s">
        <v>320</v>
      </c>
      <c r="AJ182" s="36" t="s">
        <v>321</v>
      </c>
      <c r="AK182" s="36" t="s">
        <v>322</v>
      </c>
      <c r="AL182" s="104" t="s">
        <v>322</v>
      </c>
    </row>
    <row r="183" spans="1:38" ht="17.25" x14ac:dyDescent="0.4">
      <c r="A183" s="293"/>
      <c r="B183" s="86" t="s">
        <v>3</v>
      </c>
      <c r="C183" s="106"/>
      <c r="D183" s="35" t="s">
        <v>123</v>
      </c>
      <c r="E183" s="35" t="s">
        <v>281</v>
      </c>
      <c r="F183" s="35" t="s">
        <v>285</v>
      </c>
      <c r="G183" s="35" t="s">
        <v>295</v>
      </c>
      <c r="H183" s="102" t="s">
        <v>296</v>
      </c>
      <c r="I183" s="35" t="s">
        <v>297</v>
      </c>
      <c r="J183" s="35" t="s">
        <v>298</v>
      </c>
      <c r="K183" s="35" t="s">
        <v>299</v>
      </c>
      <c r="L183" s="33" t="s">
        <v>141</v>
      </c>
      <c r="M183" s="105" t="s">
        <v>142</v>
      </c>
      <c r="N183" s="33" t="s">
        <v>143</v>
      </c>
      <c r="O183" s="33" t="s">
        <v>144</v>
      </c>
      <c r="P183" s="33" t="s">
        <v>145</v>
      </c>
      <c r="Q183" s="33" t="s">
        <v>146</v>
      </c>
      <c r="R183" s="105" t="s">
        <v>147</v>
      </c>
      <c r="S183" s="33" t="s">
        <v>148</v>
      </c>
      <c r="T183" s="33" t="s">
        <v>149</v>
      </c>
      <c r="U183" s="33" t="s">
        <v>150</v>
      </c>
      <c r="V183" s="33" t="s">
        <v>151</v>
      </c>
      <c r="W183" s="105" t="s">
        <v>152</v>
      </c>
      <c r="X183" s="33" t="s">
        <v>153</v>
      </c>
      <c r="Y183" s="33" t="s">
        <v>154</v>
      </c>
      <c r="Z183" s="33" t="s">
        <v>155</v>
      </c>
      <c r="AA183" s="33" t="s">
        <v>156</v>
      </c>
      <c r="AB183" s="105" t="s">
        <v>157</v>
      </c>
      <c r="AC183" s="33" t="s">
        <v>290</v>
      </c>
      <c r="AD183" s="33" t="s">
        <v>291</v>
      </c>
      <c r="AE183" s="33" t="s">
        <v>292</v>
      </c>
      <c r="AF183" s="33" t="s">
        <v>293</v>
      </c>
      <c r="AG183" s="105" t="s">
        <v>294</v>
      </c>
      <c r="AH183" s="33" t="s">
        <v>323</v>
      </c>
      <c r="AI183" s="33" t="s">
        <v>324</v>
      </c>
      <c r="AJ183" s="33" t="s">
        <v>325</v>
      </c>
      <c r="AK183" s="33" t="s">
        <v>326</v>
      </c>
      <c r="AL183" s="105" t="s">
        <v>327</v>
      </c>
    </row>
    <row r="184" spans="1:38" ht="14.45" customHeight="1" x14ac:dyDescent="0.25">
      <c r="A184" s="293"/>
      <c r="B184" s="512" t="s">
        <v>6</v>
      </c>
      <c r="C184" s="513"/>
      <c r="D184" s="34"/>
      <c r="E184" s="34"/>
      <c r="F184" s="34"/>
      <c r="G184" s="349"/>
      <c r="H184" s="350"/>
      <c r="I184" s="349"/>
      <c r="J184" s="34"/>
      <c r="K184" s="34"/>
      <c r="L184" s="36"/>
      <c r="M184" s="104"/>
      <c r="N184" s="36"/>
      <c r="O184" s="36"/>
      <c r="P184" s="36"/>
      <c r="Q184" s="36"/>
      <c r="R184" s="104"/>
      <c r="S184" s="36"/>
      <c r="T184" s="36"/>
      <c r="U184" s="36"/>
      <c r="V184" s="36"/>
      <c r="W184" s="104"/>
      <c r="X184" s="36"/>
      <c r="Y184" s="36"/>
      <c r="Z184" s="36"/>
      <c r="AA184" s="36"/>
      <c r="AB184" s="104"/>
      <c r="AC184" s="36"/>
      <c r="AD184" s="36"/>
      <c r="AE184" s="36"/>
      <c r="AF184" s="36"/>
      <c r="AG184" s="104"/>
      <c r="AH184" s="36"/>
      <c r="AI184" s="36"/>
      <c r="AJ184" s="36"/>
      <c r="AK184" s="36"/>
      <c r="AL184" s="104"/>
    </row>
    <row r="185" spans="1:38" ht="14.45" customHeight="1" outlineLevel="1" x14ac:dyDescent="0.25">
      <c r="A185" s="293"/>
      <c r="B185" s="510" t="s">
        <v>36</v>
      </c>
      <c r="C185" s="511"/>
      <c r="D185" s="37">
        <f>D277</f>
        <v>4761.6000000000004</v>
      </c>
      <c r="E185" s="37">
        <f t="shared" ref="E185:G185" si="709">E277</f>
        <v>2055.1000000000004</v>
      </c>
      <c r="F185" s="37">
        <f t="shared" si="709"/>
        <v>4763.4000000000015</v>
      </c>
      <c r="G185" s="295">
        <f t="shared" si="709"/>
        <v>2686.6000000000022</v>
      </c>
      <c r="H185" s="38">
        <f>G185</f>
        <v>2686.6000000000022</v>
      </c>
      <c r="I185" s="37">
        <f>I277</f>
        <v>3040.5000000000036</v>
      </c>
      <c r="J185" s="37">
        <f>J277</f>
        <v>2572.3000000000029</v>
      </c>
      <c r="K185" s="37">
        <f>K277</f>
        <v>3965.9000000000042</v>
      </c>
      <c r="L185" s="295">
        <f>L277</f>
        <v>3686.8185906645049</v>
      </c>
      <c r="M185" s="38">
        <f>L185</f>
        <v>3686.8185906645049</v>
      </c>
      <c r="N185" s="37">
        <f>N277</f>
        <v>3875.3814618441911</v>
      </c>
      <c r="O185" s="37">
        <f>O277</f>
        <v>3172.7140452266722</v>
      </c>
      <c r="P185" s="37">
        <f>P277</f>
        <v>2695.7967373633046</v>
      </c>
      <c r="Q185" s="37">
        <f>Q277</f>
        <v>2661.4695764151033</v>
      </c>
      <c r="R185" s="38">
        <f>Q185</f>
        <v>2661.4695764151033</v>
      </c>
      <c r="S185" s="37">
        <f>S277</f>
        <v>3107.4763661360976</v>
      </c>
      <c r="T185" s="37">
        <f>T277</f>
        <v>2792.6843207482038</v>
      </c>
      <c r="U185" s="37">
        <f>U277</f>
        <v>2841.9316545820448</v>
      </c>
      <c r="V185" s="37">
        <f>V277</f>
        <v>2931.1140185462764</v>
      </c>
      <c r="W185" s="38">
        <f>V185</f>
        <v>2931.1140185462764</v>
      </c>
      <c r="X185" s="37">
        <f>X277</f>
        <v>3586.2413332944288</v>
      </c>
      <c r="Y185" s="37">
        <f>Y277</f>
        <v>3340.2791348107057</v>
      </c>
      <c r="Z185" s="37">
        <f>Z277</f>
        <v>3535.8388925588697</v>
      </c>
      <c r="AA185" s="37">
        <f>AA277</f>
        <v>3776.0383674105851</v>
      </c>
      <c r="AB185" s="38">
        <f>AA185</f>
        <v>3776.0383674105851</v>
      </c>
      <c r="AC185" s="37">
        <f>AC277</f>
        <v>4446.3678995384798</v>
      </c>
      <c r="AD185" s="37">
        <f>AD277</f>
        <v>4152.2869322638962</v>
      </c>
      <c r="AE185" s="37">
        <f>AE277</f>
        <v>4292.9278853843498</v>
      </c>
      <c r="AF185" s="37">
        <f>AF277</f>
        <v>4526.467350499408</v>
      </c>
      <c r="AG185" s="38">
        <f>AF185</f>
        <v>4526.467350499408</v>
      </c>
      <c r="AH185" s="37">
        <f>AH277</f>
        <v>4967.270580325152</v>
      </c>
      <c r="AI185" s="37">
        <f>AI277</f>
        <v>4390.0348278434594</v>
      </c>
      <c r="AJ185" s="37">
        <f>AJ277</f>
        <v>4296.2873038772532</v>
      </c>
      <c r="AK185" s="37">
        <f>AK277</f>
        <v>4243.0207705865769</v>
      </c>
      <c r="AL185" s="38">
        <f>AK185</f>
        <v>4243.0207705865769</v>
      </c>
    </row>
    <row r="186" spans="1:38" ht="14.45" customHeight="1" outlineLevel="1" x14ac:dyDescent="0.25">
      <c r="A186" s="449"/>
      <c r="B186" s="82" t="s">
        <v>221</v>
      </c>
      <c r="C186" s="83"/>
      <c r="D186" s="37">
        <v>230.2</v>
      </c>
      <c r="E186" s="37">
        <v>76.599999999999994</v>
      </c>
      <c r="F186" s="37">
        <v>72.099999999999994</v>
      </c>
      <c r="G186" s="37">
        <v>70.5</v>
      </c>
      <c r="H186" s="38">
        <f>+G186</f>
        <v>70.5</v>
      </c>
      <c r="I186" s="37">
        <v>68.400000000000006</v>
      </c>
      <c r="J186" s="37">
        <v>52.9</v>
      </c>
      <c r="K186" s="37">
        <v>229.9</v>
      </c>
      <c r="L186" s="37">
        <f>+L232*L221*L233</f>
        <v>107.11797446460884</v>
      </c>
      <c r="M186" s="38">
        <f>+L186</f>
        <v>107.11797446460884</v>
      </c>
      <c r="N186" s="37">
        <f>+N232*N221*N233</f>
        <v>106.66087224665105</v>
      </c>
      <c r="O186" s="37">
        <f>+O232*O221*O233</f>
        <v>113.46443984386484</v>
      </c>
      <c r="P186" s="37">
        <f>+P232*P221*P233</f>
        <v>129.09720357356468</v>
      </c>
      <c r="Q186" s="37">
        <f>+Q232*Q221*Q233</f>
        <v>110.83114826167314</v>
      </c>
      <c r="R186" s="38">
        <f>+Q186</f>
        <v>110.83114826167314</v>
      </c>
      <c r="S186" s="37">
        <f>+S232*S221*S233</f>
        <v>115.73107522041578</v>
      </c>
      <c r="T186" s="37">
        <f>+T232*T221*T233</f>
        <v>116.4629501094709</v>
      </c>
      <c r="U186" s="37">
        <f>+U232*U221*U233</f>
        <v>117.50114909336639</v>
      </c>
      <c r="V186" s="37">
        <f>+V232*V221*V233</f>
        <v>115.54518833619241</v>
      </c>
      <c r="W186" s="38">
        <f>+V186</f>
        <v>115.54518833619241</v>
      </c>
      <c r="X186" s="37">
        <f>+X232*X221*X233</f>
        <v>119.99466652963865</v>
      </c>
      <c r="Y186" s="37">
        <f>+Y232*Y221*Y233</f>
        <v>118.27933805159542</v>
      </c>
      <c r="Z186" s="37">
        <f>+Z232*Z221*Z233</f>
        <v>118.4756555731133</v>
      </c>
      <c r="AA186" s="37">
        <f>+AA232*AA221*AA233</f>
        <v>119.56589736190838</v>
      </c>
      <c r="AB186" s="38">
        <f>+AA186</f>
        <v>119.56589736190838</v>
      </c>
      <c r="AC186" s="37">
        <f>+AC232*AC221*AC233</f>
        <v>123.66736384698095</v>
      </c>
      <c r="AD186" s="37">
        <f>+AD232*AD221*AD233</f>
        <v>121.33763372156992</v>
      </c>
      <c r="AE186" s="37">
        <f>+AE232*AE221*AE233</f>
        <v>121.49952295068711</v>
      </c>
      <c r="AF186" s="37">
        <f>+AF232*AF221*AF233</f>
        <v>123.09181994350405</v>
      </c>
      <c r="AG186" s="38">
        <f>+AF186</f>
        <v>123.09181994350405</v>
      </c>
      <c r="AH186" s="37">
        <f>+AH232*AH221*AH233</f>
        <v>126.28957863044575</v>
      </c>
      <c r="AI186" s="37">
        <f>+AI232*AI221*AI233</f>
        <v>122.71046359200629</v>
      </c>
      <c r="AJ186" s="37">
        <f>+AJ232*AJ221*AJ233</f>
        <v>122.02044537208515</v>
      </c>
      <c r="AK186" s="37">
        <f>+AK232*AK221*AK233</f>
        <v>122.62178276321484</v>
      </c>
      <c r="AL186" s="38">
        <f>+AK186</f>
        <v>122.62178276321484</v>
      </c>
    </row>
    <row r="187" spans="1:38" s="46" customFormat="1" ht="14.45" customHeight="1" outlineLevel="1" x14ac:dyDescent="0.25">
      <c r="A187" s="449"/>
      <c r="B187" s="510" t="s">
        <v>222</v>
      </c>
      <c r="C187" s="511"/>
      <c r="D187" s="37">
        <v>721.4</v>
      </c>
      <c r="E187" s="37">
        <v>703.6</v>
      </c>
      <c r="F187" s="37">
        <v>790.6</v>
      </c>
      <c r="G187" s="37">
        <v>879</v>
      </c>
      <c r="H187" s="38">
        <f>G187</f>
        <v>879</v>
      </c>
      <c r="I187" s="37">
        <v>908.1</v>
      </c>
      <c r="J187" s="37">
        <v>941</v>
      </c>
      <c r="K187" s="37">
        <v>881.1</v>
      </c>
      <c r="L187" s="37">
        <f>L17/L226</f>
        <v>891.42478134678629</v>
      </c>
      <c r="M187" s="38">
        <f>L187</f>
        <v>891.42478134678629</v>
      </c>
      <c r="N187" s="37">
        <f>N17/N226</f>
        <v>927.27393570462664</v>
      </c>
      <c r="O187" s="37">
        <f>O17/O226</f>
        <v>919.21442962309914</v>
      </c>
      <c r="P187" s="37">
        <f>P17/P226</f>
        <v>883.07633101338183</v>
      </c>
      <c r="Q187" s="37">
        <f>Q17/Q226</f>
        <v>934.61745007981597</v>
      </c>
      <c r="R187" s="38">
        <f>Q187</f>
        <v>934.61745007981597</v>
      </c>
      <c r="S187" s="37">
        <f>S17/S226</f>
        <v>1047.851727054539</v>
      </c>
      <c r="T187" s="37">
        <f>T17/T226</f>
        <v>975.25630577945924</v>
      </c>
      <c r="U187" s="37">
        <f>U17/U226</f>
        <v>934.42930420276446</v>
      </c>
      <c r="V187" s="37">
        <f>V17/V226</f>
        <v>990.74769148865846</v>
      </c>
      <c r="W187" s="38">
        <f>V187</f>
        <v>990.74769148865846</v>
      </c>
      <c r="X187" s="37">
        <f>X17/X226</f>
        <v>1115.8360197838683</v>
      </c>
      <c r="Y187" s="37">
        <f>Y17/Y226</f>
        <v>1037.7135152269404</v>
      </c>
      <c r="Z187" s="37">
        <f>Z17/Z226</f>
        <v>995.33877250341345</v>
      </c>
      <c r="AA187" s="37">
        <f>AA17/AA226</f>
        <v>1056.4771165363668</v>
      </c>
      <c r="AB187" s="38">
        <f>AA187</f>
        <v>1056.4771165363668</v>
      </c>
      <c r="AC187" s="37">
        <f>AC17/AC226</f>
        <v>1189.2915894073099</v>
      </c>
      <c r="AD187" s="37">
        <f>AD17/AD226</f>
        <v>1105.5895154303021</v>
      </c>
      <c r="AE187" s="37">
        <f>AE17/AE226</f>
        <v>1061.8448855175375</v>
      </c>
      <c r="AF187" s="37">
        <f>AF17/AF226</f>
        <v>1127.6514625637358</v>
      </c>
      <c r="AG187" s="38">
        <f>AF187</f>
        <v>1127.6514625637358</v>
      </c>
      <c r="AH187" s="37">
        <f>AH17/AH226</f>
        <v>1271.1746216470913</v>
      </c>
      <c r="AI187" s="37">
        <f>AI17/AI226</f>
        <v>1180.9745164902999</v>
      </c>
      <c r="AJ187" s="37">
        <f>AJ17/AJ226</f>
        <v>1135.6921870265764</v>
      </c>
      <c r="AK187" s="37">
        <f>AK17/AK226</f>
        <v>1206.4942849564579</v>
      </c>
      <c r="AL187" s="38">
        <f>AK187</f>
        <v>1206.4942849564579</v>
      </c>
    </row>
    <row r="188" spans="1:38" s="46" customFormat="1" ht="14.45" customHeight="1" outlineLevel="1" x14ac:dyDescent="0.25">
      <c r="A188" s="449"/>
      <c r="B188" s="82" t="s">
        <v>223</v>
      </c>
      <c r="C188" s="83"/>
      <c r="D188" s="37">
        <v>1354.6</v>
      </c>
      <c r="E188" s="37">
        <v>1443</v>
      </c>
      <c r="F188" s="37">
        <v>1517.2</v>
      </c>
      <c r="G188" s="37">
        <v>1529.4</v>
      </c>
      <c r="H188" s="38">
        <f>G188</f>
        <v>1529.4</v>
      </c>
      <c r="I188" s="37">
        <v>1408.7</v>
      </c>
      <c r="J188" s="37">
        <v>1492.2</v>
      </c>
      <c r="K188" s="37">
        <v>1583.8</v>
      </c>
      <c r="L188" s="37">
        <f>L18/L228</f>
        <v>1607.1163698999399</v>
      </c>
      <c r="M188" s="38">
        <f>L188</f>
        <v>1607.1163698999399</v>
      </c>
      <c r="N188" s="37">
        <f>N18/N228</f>
        <v>1565.2499078880428</v>
      </c>
      <c r="O188" s="37">
        <f>O18/O228</f>
        <v>1607.333504196487</v>
      </c>
      <c r="P188" s="37">
        <f>P18/P228</f>
        <v>1639.8903216207873</v>
      </c>
      <c r="Q188" s="37">
        <f>Q18/Q228</f>
        <v>1725.9777287061297</v>
      </c>
      <c r="R188" s="38">
        <f>Q188</f>
        <v>1725.9777287061297</v>
      </c>
      <c r="S188" s="37">
        <f>S18/S228</f>
        <v>1729.2872938731061</v>
      </c>
      <c r="T188" s="37">
        <f>T18/T228</f>
        <v>1706.3315944086714</v>
      </c>
      <c r="U188" s="37">
        <f>U18/U228</f>
        <v>1707.1787461888359</v>
      </c>
      <c r="V188" s="37">
        <f>V18/V228</f>
        <v>1819.7075526141398</v>
      </c>
      <c r="W188" s="38">
        <f>V188</f>
        <v>1819.7075526141398</v>
      </c>
      <c r="X188" s="37">
        <f>X18/X228</f>
        <v>1823.0780363513156</v>
      </c>
      <c r="Y188" s="37">
        <f>Y18/Y228</f>
        <v>1803.9905486097989</v>
      </c>
      <c r="Z188" s="37">
        <f>Z18/Z228</f>
        <v>1811.3074906376351</v>
      </c>
      <c r="AA188" s="37">
        <f>AA18/AA228</f>
        <v>1932.2215106859485</v>
      </c>
      <c r="AB188" s="38">
        <f>AA188</f>
        <v>1932.2215106859485</v>
      </c>
      <c r="AC188" s="37">
        <f>AC18/AC228</f>
        <v>1930.0500683739965</v>
      </c>
      <c r="AD188" s="37">
        <f>AD18/AD228</f>
        <v>1908.2960113587196</v>
      </c>
      <c r="AE188" s="37">
        <f>AE18/AE228</f>
        <v>1925.657901430186</v>
      </c>
      <c r="AF188" s="37">
        <f>AF18/AF228</f>
        <v>2047.1714836600852</v>
      </c>
      <c r="AG188" s="38">
        <f>AF188</f>
        <v>2047.1714836600852</v>
      </c>
      <c r="AH188" s="37">
        <f>AH18/AH228</f>
        <v>2055.9892137423435</v>
      </c>
      <c r="AI188" s="37">
        <f>AI18/AI228</f>
        <v>2031.2684227038465</v>
      </c>
      <c r="AJ188" s="37">
        <f>AJ18/AJ228</f>
        <v>2052.5575942328346</v>
      </c>
      <c r="AK188" s="37">
        <f>AK18/AK228</f>
        <v>2191.5329163929769</v>
      </c>
      <c r="AL188" s="38">
        <f>AK188</f>
        <v>2191.5329163929769</v>
      </c>
    </row>
    <row r="189" spans="1:38" ht="16.149999999999999" customHeight="1" outlineLevel="1" x14ac:dyDescent="0.4">
      <c r="A189" s="449"/>
      <c r="B189" s="510" t="s">
        <v>74</v>
      </c>
      <c r="C189" s="511"/>
      <c r="D189" s="40">
        <v>608.5</v>
      </c>
      <c r="E189" s="310">
        <v>674</v>
      </c>
      <c r="F189" s="310">
        <v>591.6</v>
      </c>
      <c r="G189" s="310">
        <v>488.2</v>
      </c>
      <c r="H189" s="41">
        <f>G189</f>
        <v>488.2</v>
      </c>
      <c r="I189" s="310">
        <v>474</v>
      </c>
      <c r="J189" s="310">
        <v>691.5</v>
      </c>
      <c r="K189" s="310">
        <v>920.3</v>
      </c>
      <c r="L189" s="68">
        <f>+K189*0.85</f>
        <v>782.255</v>
      </c>
      <c r="M189" s="41">
        <f>L189</f>
        <v>782.255</v>
      </c>
      <c r="N189" s="68">
        <f>L189*0.9</f>
        <v>704.02949999999998</v>
      </c>
      <c r="O189" s="68">
        <f>N189*0.95</f>
        <v>668.82802499999991</v>
      </c>
      <c r="P189" s="68">
        <f>O189*0.95</f>
        <v>635.3866237499999</v>
      </c>
      <c r="Q189" s="68">
        <f>P189*0.95</f>
        <v>603.61729256249987</v>
      </c>
      <c r="R189" s="41">
        <f>Q189</f>
        <v>603.61729256249987</v>
      </c>
      <c r="S189" s="68">
        <f>Q189*1.02</f>
        <v>615.68963841374989</v>
      </c>
      <c r="T189" s="68">
        <f>S189*1.02</f>
        <v>628.00343118202488</v>
      </c>
      <c r="U189" s="68">
        <f>T189*1.02</f>
        <v>640.5634998056654</v>
      </c>
      <c r="V189" s="68">
        <f>U189*1.02</f>
        <v>653.37476980177871</v>
      </c>
      <c r="W189" s="41">
        <f>V189</f>
        <v>653.37476980177871</v>
      </c>
      <c r="X189" s="68">
        <f>V189*1.02</f>
        <v>666.44226519781432</v>
      </c>
      <c r="Y189" s="68">
        <f>X189*1.02</f>
        <v>679.77111050177064</v>
      </c>
      <c r="Z189" s="68">
        <f>Y189*1.02</f>
        <v>693.36653271180603</v>
      </c>
      <c r="AA189" s="68">
        <f>Z189*1.02</f>
        <v>707.23386336604221</v>
      </c>
      <c r="AB189" s="41">
        <f>AA189</f>
        <v>707.23386336604221</v>
      </c>
      <c r="AC189" s="68">
        <f>AA189*1.02</f>
        <v>721.37854063336306</v>
      </c>
      <c r="AD189" s="68">
        <f>AC189*1.02</f>
        <v>735.80611144603029</v>
      </c>
      <c r="AE189" s="68">
        <f>AD189*1.02</f>
        <v>750.52223367495094</v>
      </c>
      <c r="AF189" s="68">
        <f>AE189*1.02</f>
        <v>765.53267834844996</v>
      </c>
      <c r="AG189" s="41">
        <f>AF189</f>
        <v>765.53267834844996</v>
      </c>
      <c r="AH189" s="68">
        <f>AF189*1.02</f>
        <v>780.84333191541896</v>
      </c>
      <c r="AI189" s="68">
        <f>AH189*1.02</f>
        <v>796.46019855372731</v>
      </c>
      <c r="AJ189" s="68">
        <f>AI189*1.02</f>
        <v>812.38940252480188</v>
      </c>
      <c r="AK189" s="68">
        <f>AJ189*1.02</f>
        <v>828.63719057529795</v>
      </c>
      <c r="AL189" s="41">
        <f>AK189</f>
        <v>828.63719057529795</v>
      </c>
    </row>
    <row r="190" spans="1:38" ht="14.45" customHeight="1" outlineLevel="1" x14ac:dyDescent="0.25">
      <c r="A190" s="449"/>
      <c r="B190" s="84" t="s">
        <v>4</v>
      </c>
      <c r="C190" s="85"/>
      <c r="D190" s="44">
        <f t="shared" ref="D190:AB190" si="710">SUM(D185:D189)</f>
        <v>7676.2999999999993</v>
      </c>
      <c r="E190" s="44">
        <f t="shared" si="710"/>
        <v>4952.3</v>
      </c>
      <c r="F190" s="44">
        <f t="shared" si="710"/>
        <v>7734.9000000000024</v>
      </c>
      <c r="G190" s="44">
        <f t="shared" si="710"/>
        <v>5653.7000000000016</v>
      </c>
      <c r="H190" s="45">
        <f t="shared" si="710"/>
        <v>5653.7000000000016</v>
      </c>
      <c r="I190" s="44">
        <f t="shared" si="710"/>
        <v>5899.7000000000035</v>
      </c>
      <c r="J190" s="44">
        <f t="shared" si="710"/>
        <v>5749.9000000000033</v>
      </c>
      <c r="K190" s="44">
        <f t="shared" si="710"/>
        <v>7581.0000000000045</v>
      </c>
      <c r="L190" s="44">
        <f t="shared" si="710"/>
        <v>7074.73271637584</v>
      </c>
      <c r="M190" s="45">
        <f t="shared" si="710"/>
        <v>7074.73271637584</v>
      </c>
      <c r="N190" s="44">
        <f t="shared" si="710"/>
        <v>7178.595677683511</v>
      </c>
      <c r="O190" s="44">
        <f t="shared" si="710"/>
        <v>6481.5544438901225</v>
      </c>
      <c r="P190" s="44">
        <f t="shared" si="710"/>
        <v>5983.2472173210381</v>
      </c>
      <c r="Q190" s="44">
        <f t="shared" si="710"/>
        <v>6036.513196025222</v>
      </c>
      <c r="R190" s="45">
        <f t="shared" si="710"/>
        <v>6036.513196025222</v>
      </c>
      <c r="S190" s="44">
        <f t="shared" si="710"/>
        <v>6616.0361006979083</v>
      </c>
      <c r="T190" s="44">
        <f t="shared" si="710"/>
        <v>6218.7386022278297</v>
      </c>
      <c r="U190" s="44">
        <f t="shared" si="710"/>
        <v>6241.6043538726772</v>
      </c>
      <c r="V190" s="44">
        <f t="shared" si="710"/>
        <v>6510.4892207870462</v>
      </c>
      <c r="W190" s="45">
        <f t="shared" si="710"/>
        <v>6510.4892207870462</v>
      </c>
      <c r="X190" s="44">
        <f t="shared" si="710"/>
        <v>7311.5923211570662</v>
      </c>
      <c r="Y190" s="44">
        <f t="shared" si="710"/>
        <v>6980.0336472008112</v>
      </c>
      <c r="Z190" s="44">
        <f t="shared" si="710"/>
        <v>7154.3273439848372</v>
      </c>
      <c r="AA190" s="44">
        <f t="shared" si="710"/>
        <v>7591.5367553608512</v>
      </c>
      <c r="AB190" s="45">
        <f t="shared" si="710"/>
        <v>7591.5367553608512</v>
      </c>
      <c r="AC190" s="44">
        <f t="shared" ref="AC190:AG190" si="711">SUM(AC185:AC189)</f>
        <v>8410.7554618001304</v>
      </c>
      <c r="AD190" s="44">
        <f t="shared" si="711"/>
        <v>8023.3162042205186</v>
      </c>
      <c r="AE190" s="44">
        <f t="shared" si="711"/>
        <v>8152.4524289577112</v>
      </c>
      <c r="AF190" s="44">
        <f t="shared" si="711"/>
        <v>8589.9147950151819</v>
      </c>
      <c r="AG190" s="45">
        <f t="shared" si="711"/>
        <v>8589.9147950151819</v>
      </c>
      <c r="AH190" s="44">
        <f t="shared" ref="AH190:AL190" si="712">SUM(AH185:AH189)</f>
        <v>9201.5673262604523</v>
      </c>
      <c r="AI190" s="44">
        <f t="shared" si="712"/>
        <v>8521.4484291833378</v>
      </c>
      <c r="AJ190" s="44">
        <f t="shared" si="712"/>
        <v>8418.9469330335523</v>
      </c>
      <c r="AK190" s="44">
        <f t="shared" si="712"/>
        <v>8592.306945274524</v>
      </c>
      <c r="AL190" s="45">
        <f t="shared" si="712"/>
        <v>8592.306945274524</v>
      </c>
    </row>
    <row r="191" spans="1:38" ht="14.45" customHeight="1" outlineLevel="1" x14ac:dyDescent="0.25">
      <c r="A191" s="449"/>
      <c r="B191" s="82" t="s">
        <v>224</v>
      </c>
      <c r="C191" s="183"/>
      <c r="D191" s="37">
        <v>265</v>
      </c>
      <c r="E191" s="37">
        <v>251.9</v>
      </c>
      <c r="F191" s="37">
        <v>222.6</v>
      </c>
      <c r="G191" s="37">
        <v>220</v>
      </c>
      <c r="H191" s="38">
        <f t="shared" ref="H191:H192" si="713">+G191</f>
        <v>220</v>
      </c>
      <c r="I191" s="37">
        <v>199.8</v>
      </c>
      <c r="J191" s="37">
        <v>198.8</v>
      </c>
      <c r="K191" s="37">
        <v>223.4</v>
      </c>
      <c r="L191" s="37">
        <f>+L232*L221*(1-L233)</f>
        <v>245.51665034599753</v>
      </c>
      <c r="M191" s="38">
        <f t="shared" ref="M191:M192" si="714">+L191</f>
        <v>245.51665034599753</v>
      </c>
      <c r="N191" s="37">
        <f>+N232*N221*(1-N233)</f>
        <v>227.6628602159129</v>
      </c>
      <c r="O191" s="37">
        <f>+O232*O221*(1-O233)</f>
        <v>225.20001004283591</v>
      </c>
      <c r="P191" s="37">
        <f>+P232*P221*(1-P233)</f>
        <v>223.38564204227879</v>
      </c>
      <c r="Q191" s="37">
        <f>+Q232*Q221*(1-Q233)</f>
        <v>223.98454101504174</v>
      </c>
      <c r="R191" s="38">
        <f t="shared" ref="R191:R192" si="715">+Q191</f>
        <v>223.98454101504174</v>
      </c>
      <c r="S191" s="37">
        <f>+S232*S221*(1-S233)</f>
        <v>226.83525644547075</v>
      </c>
      <c r="T191" s="37">
        <f>+T232*T221*(1-T233)</f>
        <v>223.53939481603987</v>
      </c>
      <c r="U191" s="37">
        <f>+U232*U221*(1-U233)</f>
        <v>223.66443374659258</v>
      </c>
      <c r="V191" s="37">
        <f>+V232*V221*(1-V233)</f>
        <v>225.34546702728861</v>
      </c>
      <c r="W191" s="38">
        <f t="shared" ref="W191:W192" si="716">+V191</f>
        <v>225.34546702728861</v>
      </c>
      <c r="X191" s="37">
        <f>+X232*X221*(1-X233)</f>
        <v>231.96473605390591</v>
      </c>
      <c r="Y191" s="37">
        <f>+Y232*Y221*(1-Y233)</f>
        <v>227.86252491121854</v>
      </c>
      <c r="Z191" s="37">
        <f>+Z232*Z221*(1-Z233)</f>
        <v>228.45089571838699</v>
      </c>
      <c r="AA191" s="37">
        <f>+AA232*AA221*(1-AA233)</f>
        <v>231.30066605100998</v>
      </c>
      <c r="AB191" s="38">
        <f t="shared" ref="AB191:AB192" si="717">+AA191</f>
        <v>231.30066605100998</v>
      </c>
      <c r="AC191" s="37">
        <f>+AC232*AC221*(1-AC233)</f>
        <v>238.75047006527052</v>
      </c>
      <c r="AD191" s="37">
        <f>+AD232*AD221*(1-AD233)</f>
        <v>234.17577573570915</v>
      </c>
      <c r="AE191" s="37">
        <f>+AE232*AE221*(1-AE233)</f>
        <v>234.5938893342325</v>
      </c>
      <c r="AF191" s="37">
        <f>+AF232*AF221*(1-AF233)</f>
        <v>237.74749424482491</v>
      </c>
      <c r="AG191" s="38">
        <f t="shared" ref="AG191:AG192" si="718">+AF191</f>
        <v>237.74749424482491</v>
      </c>
      <c r="AH191" s="37">
        <f>+AH232*AH221*(1-AH233)</f>
        <v>243.82802614280791</v>
      </c>
      <c r="AI191" s="37">
        <f>+AI232*AI221*(1-AI233)</f>
        <v>236.92148703424451</v>
      </c>
      <c r="AJ191" s="37">
        <f>+AJ232*AJ221*(1-AJ233)</f>
        <v>235.61317086608955</v>
      </c>
      <c r="AK191" s="37">
        <f>+AK232*AK221*(1-AK233)</f>
        <v>236.77769751074504</v>
      </c>
      <c r="AL191" s="38">
        <f t="shared" ref="AL191:AL192" si="719">+AK191</f>
        <v>236.77769751074504</v>
      </c>
    </row>
    <row r="192" spans="1:38" ht="14.45" customHeight="1" outlineLevel="1" x14ac:dyDescent="0.25">
      <c r="A192" s="449"/>
      <c r="B192" s="82" t="s">
        <v>313</v>
      </c>
      <c r="C192" s="183"/>
      <c r="D192" s="37">
        <v>336.1</v>
      </c>
      <c r="E192" s="37">
        <v>309.3</v>
      </c>
      <c r="F192" s="37">
        <v>340.3</v>
      </c>
      <c r="G192" s="37">
        <v>396</v>
      </c>
      <c r="H192" s="38">
        <f t="shared" si="713"/>
        <v>396</v>
      </c>
      <c r="I192" s="37">
        <v>411.3</v>
      </c>
      <c r="J192" s="37">
        <v>420.9</v>
      </c>
      <c r="K192" s="37">
        <v>426.1</v>
      </c>
      <c r="L192" s="37">
        <f>K192</f>
        <v>426.1</v>
      </c>
      <c r="M192" s="38">
        <f t="shared" si="714"/>
        <v>426.1</v>
      </c>
      <c r="N192" s="37">
        <f>L192</f>
        <v>426.1</v>
      </c>
      <c r="O192" s="37">
        <f>N192</f>
        <v>426.1</v>
      </c>
      <c r="P192" s="37">
        <f t="shared" ref="P192:Q192" si="720">O192</f>
        <v>426.1</v>
      </c>
      <c r="Q192" s="37">
        <f t="shared" si="720"/>
        <v>426.1</v>
      </c>
      <c r="R192" s="38">
        <f t="shared" si="715"/>
        <v>426.1</v>
      </c>
      <c r="S192" s="37">
        <f>Q192</f>
        <v>426.1</v>
      </c>
      <c r="T192" s="37">
        <f>S192</f>
        <v>426.1</v>
      </c>
      <c r="U192" s="37">
        <f t="shared" ref="U192:V192" si="721">T192</f>
        <v>426.1</v>
      </c>
      <c r="V192" s="37">
        <f t="shared" si="721"/>
        <v>426.1</v>
      </c>
      <c r="W192" s="38">
        <f t="shared" si="716"/>
        <v>426.1</v>
      </c>
      <c r="X192" s="37">
        <f>V192</f>
        <v>426.1</v>
      </c>
      <c r="Y192" s="37">
        <f>X192</f>
        <v>426.1</v>
      </c>
      <c r="Z192" s="37">
        <f t="shared" ref="Z192:AA192" si="722">Y192</f>
        <v>426.1</v>
      </c>
      <c r="AA192" s="37">
        <f t="shared" si="722"/>
        <v>426.1</v>
      </c>
      <c r="AB192" s="38">
        <f t="shared" si="717"/>
        <v>426.1</v>
      </c>
      <c r="AC192" s="37">
        <f>AA192</f>
        <v>426.1</v>
      </c>
      <c r="AD192" s="37">
        <f>AC192</f>
        <v>426.1</v>
      </c>
      <c r="AE192" s="37">
        <f t="shared" ref="AE192:AF192" si="723">AD192</f>
        <v>426.1</v>
      </c>
      <c r="AF192" s="37">
        <f t="shared" si="723"/>
        <v>426.1</v>
      </c>
      <c r="AG192" s="38">
        <f t="shared" si="718"/>
        <v>426.1</v>
      </c>
      <c r="AH192" s="37">
        <f>AF192</f>
        <v>426.1</v>
      </c>
      <c r="AI192" s="37">
        <f>AH192</f>
        <v>426.1</v>
      </c>
      <c r="AJ192" s="37">
        <f t="shared" ref="AJ192:AK192" si="724">AI192</f>
        <v>426.1</v>
      </c>
      <c r="AK192" s="37">
        <f t="shared" si="724"/>
        <v>426.1</v>
      </c>
      <c r="AL192" s="38">
        <f t="shared" si="719"/>
        <v>426.1</v>
      </c>
    </row>
    <row r="193" spans="1:38" s="20" customFormat="1" outlineLevel="1" x14ac:dyDescent="0.25">
      <c r="A193" s="449"/>
      <c r="B193" s="82" t="s">
        <v>225</v>
      </c>
      <c r="C193" s="85"/>
      <c r="D193" s="37">
        <v>6039.3</v>
      </c>
      <c r="E193" s="37">
        <v>6135.5</v>
      </c>
      <c r="F193" s="37">
        <v>6187.8</v>
      </c>
      <c r="G193" s="37">
        <v>6431.7</v>
      </c>
      <c r="H193" s="38">
        <f>+G193</f>
        <v>6431.7</v>
      </c>
      <c r="I193" s="37">
        <v>6390.9</v>
      </c>
      <c r="J193" s="37">
        <v>6387</v>
      </c>
      <c r="K193" s="37">
        <v>6295.6</v>
      </c>
      <c r="L193" s="37">
        <f>+K193-L261-L243</f>
        <v>6289.2836486900042</v>
      </c>
      <c r="M193" s="38">
        <f>+L193</f>
        <v>6289.2836486900042</v>
      </c>
      <c r="N193" s="37">
        <f>+L193-N261-N243</f>
        <v>6348.9357483774493</v>
      </c>
      <c r="O193" s="37">
        <f>+N193-O261-O243</f>
        <v>6402.1398921944356</v>
      </c>
      <c r="P193" s="37">
        <f>+O193-P261-P243</f>
        <v>6467.9580543162601</v>
      </c>
      <c r="Q193" s="37">
        <f>+P193-Q261-Q243</f>
        <v>6536.5763471378696</v>
      </c>
      <c r="R193" s="38">
        <f>+Q193</f>
        <v>6536.5763471378696</v>
      </c>
      <c r="S193" s="37">
        <f>+Q193-S261-S243</f>
        <v>6623.6031016546658</v>
      </c>
      <c r="T193" s="37">
        <f>+S193-T261-T243</f>
        <v>6664.5596373619437</v>
      </c>
      <c r="U193" s="37">
        <f>+T193-U261-U243</f>
        <v>6713.3901122102716</v>
      </c>
      <c r="V193" s="37">
        <f>+U193-V261-V243</f>
        <v>6777.2522626631207</v>
      </c>
      <c r="W193" s="38">
        <f>+V193</f>
        <v>6777.2522626631207</v>
      </c>
      <c r="X193" s="37">
        <f>+V193-X261-X243</f>
        <v>6796.9409147740807</v>
      </c>
      <c r="Y193" s="37">
        <f>+X193-Y261-Y243</f>
        <v>6779.0265523096932</v>
      </c>
      <c r="Z193" s="37">
        <f>+Y193-Z261-Z243</f>
        <v>6771.6120989181409</v>
      </c>
      <c r="AA193" s="37">
        <f>+Z193-AA261-AA243</f>
        <v>6780.8787351186447</v>
      </c>
      <c r="AB193" s="38">
        <f>+AA193</f>
        <v>6780.8787351186447</v>
      </c>
      <c r="AC193" s="37">
        <f>+AA193-AC261-AC243</f>
        <v>6827.9036782808844</v>
      </c>
      <c r="AD193" s="37">
        <f>+AC193-AD261-AD243</f>
        <v>6833.1812293335279</v>
      </c>
      <c r="AE193" s="37">
        <f>+AD193-AE261-AE243</f>
        <v>6848.7315792853669</v>
      </c>
      <c r="AF193" s="37">
        <f>+AE193-AF261-AF243</f>
        <v>6880.9131731507223</v>
      </c>
      <c r="AG193" s="38">
        <f>+AF193</f>
        <v>6880.9131731507223</v>
      </c>
      <c r="AH193" s="37">
        <f>+AF193-AH261-AH243</f>
        <v>6952.7624928621626</v>
      </c>
      <c r="AI193" s="37">
        <f>+AH193-AI261-AI243</f>
        <v>6978.4493934572147</v>
      </c>
      <c r="AJ193" s="37">
        <f>+AI193-AJ261-AJ243</f>
        <v>7014.4921220604501</v>
      </c>
      <c r="AK193" s="37">
        <f>+AJ193-AK261-AK243</f>
        <v>7067.3427062836672</v>
      </c>
      <c r="AL193" s="38">
        <f>+AK193</f>
        <v>7067.3427062836672</v>
      </c>
    </row>
    <row r="194" spans="1:38" s="20" customFormat="1" outlineLevel="1" x14ac:dyDescent="0.25">
      <c r="A194" s="449"/>
      <c r="B194" s="336" t="s">
        <v>314</v>
      </c>
      <c r="C194" s="338"/>
      <c r="D194" s="37">
        <v>0</v>
      </c>
      <c r="E194" s="37">
        <v>0</v>
      </c>
      <c r="F194" s="37">
        <v>0</v>
      </c>
      <c r="G194" s="37">
        <v>0</v>
      </c>
      <c r="H194" s="38">
        <f>+G194</f>
        <v>0</v>
      </c>
      <c r="I194" s="37">
        <v>8358.5</v>
      </c>
      <c r="J194" s="37">
        <v>8260.7999999999993</v>
      </c>
      <c r="K194" s="37">
        <v>8214</v>
      </c>
      <c r="L194" s="70">
        <f>K194*0.99</f>
        <v>8131.86</v>
      </c>
      <c r="M194" s="38">
        <f>L194</f>
        <v>8131.86</v>
      </c>
      <c r="N194" s="70">
        <f>L194*0.99</f>
        <v>8050.5413999999992</v>
      </c>
      <c r="O194" s="70">
        <f>N194*0.99</f>
        <v>7970.035985999999</v>
      </c>
      <c r="P194" s="70">
        <f>O194*0.99</f>
        <v>7890.3356261399986</v>
      </c>
      <c r="Q194" s="70">
        <f>P194*0.99</f>
        <v>7811.4322698785982</v>
      </c>
      <c r="R194" s="38">
        <f>Q194</f>
        <v>7811.4322698785982</v>
      </c>
      <c r="S194" s="70">
        <f>Q194*0.99</f>
        <v>7733.3179471798121</v>
      </c>
      <c r="T194" s="70">
        <f>S194*0.99</f>
        <v>7655.9847677080143</v>
      </c>
      <c r="U194" s="70">
        <f>T194*0.99</f>
        <v>7579.4249200309341</v>
      </c>
      <c r="V194" s="70">
        <f>U194*0.99</f>
        <v>7503.6306708306247</v>
      </c>
      <c r="W194" s="38">
        <f>V194</f>
        <v>7503.6306708306247</v>
      </c>
      <c r="X194" s="70">
        <f>V194*0.99</f>
        <v>7428.5943641223184</v>
      </c>
      <c r="Y194" s="70">
        <f>X194*0.99</f>
        <v>7354.3084204810948</v>
      </c>
      <c r="Z194" s="70">
        <f>Y194*0.99</f>
        <v>7280.765336276284</v>
      </c>
      <c r="AA194" s="70">
        <f>Z194*0.99</f>
        <v>7207.9576829135212</v>
      </c>
      <c r="AB194" s="38">
        <f>AA194</f>
        <v>7207.9576829135212</v>
      </c>
      <c r="AC194" s="70">
        <f>AA194*0.99</f>
        <v>7135.8781060843858</v>
      </c>
      <c r="AD194" s="70">
        <f>AC194*0.99</f>
        <v>7064.5193250235416</v>
      </c>
      <c r="AE194" s="70">
        <f>AD194*0.99</f>
        <v>6993.8741317733065</v>
      </c>
      <c r="AF194" s="70">
        <f>AE194*0.99</f>
        <v>6923.9353904555737</v>
      </c>
      <c r="AG194" s="38">
        <f>AF194</f>
        <v>6923.9353904555737</v>
      </c>
      <c r="AH194" s="70">
        <f>AF194*0.99</f>
        <v>6854.6960365510176</v>
      </c>
      <c r="AI194" s="70">
        <f>AH194*0.99</f>
        <v>6786.1490761855075</v>
      </c>
      <c r="AJ194" s="70">
        <f>AI194*0.99</f>
        <v>6718.2875854236527</v>
      </c>
      <c r="AK194" s="70">
        <f>AJ194*0.99</f>
        <v>6651.1047095694157</v>
      </c>
      <c r="AL194" s="38">
        <f>AK194</f>
        <v>6651.1047095694157</v>
      </c>
    </row>
    <row r="195" spans="1:38" s="20" customFormat="1" outlineLevel="1" x14ac:dyDescent="0.25">
      <c r="A195" s="449"/>
      <c r="B195" s="82" t="s">
        <v>234</v>
      </c>
      <c r="C195" s="85"/>
      <c r="D195" s="37">
        <v>650</v>
      </c>
      <c r="E195" s="37">
        <v>1006.6</v>
      </c>
      <c r="F195" s="37">
        <v>1533</v>
      </c>
      <c r="G195" s="37">
        <v>1765.8</v>
      </c>
      <c r="H195" s="38">
        <f t="shared" ref="H195:H196" si="725">+G195</f>
        <v>1765.8</v>
      </c>
      <c r="I195" s="37">
        <v>1731.4</v>
      </c>
      <c r="J195" s="37">
        <v>1709.7</v>
      </c>
      <c r="K195" s="37">
        <v>1740</v>
      </c>
      <c r="L195" s="70">
        <f>L236*(L206+L212)</f>
        <v>1714.9448335996237</v>
      </c>
      <c r="M195" s="38">
        <f t="shared" ref="M195:M196" si="726">+L195</f>
        <v>1714.9448335996237</v>
      </c>
      <c r="N195" s="70">
        <f>N236*(N206+N212)</f>
        <v>1785.4082012153515</v>
      </c>
      <c r="O195" s="70">
        <f>O236*(O206+O212)</f>
        <v>1731.8584462332497</v>
      </c>
      <c r="P195" s="70">
        <f>P236*(P206+P212)</f>
        <v>1726.1959393485149</v>
      </c>
      <c r="Q195" s="70">
        <f>Q236*(Q206+Q212)</f>
        <v>1712.9922385283203</v>
      </c>
      <c r="R195" s="38">
        <f t="shared" ref="R195:R196" si="727">+Q195</f>
        <v>1712.9922385283203</v>
      </c>
      <c r="S195" s="70">
        <f>S236*(S206+S212)</f>
        <v>1805.9013362657138</v>
      </c>
      <c r="T195" s="70">
        <f>T236*(T206+T212)</f>
        <v>1737.9071699278941</v>
      </c>
      <c r="U195" s="70">
        <f>U236*(U206+U212)</f>
        <v>1728.74973828464</v>
      </c>
      <c r="V195" s="70">
        <f>V236*(V206+V212)</f>
        <v>1718.8271537825906</v>
      </c>
      <c r="W195" s="38">
        <f t="shared" ref="W195:W196" si="728">+V195</f>
        <v>1718.8271537825906</v>
      </c>
      <c r="X195" s="70">
        <f>X236*(X206+X212)</f>
        <v>1821.5230927659513</v>
      </c>
      <c r="Y195" s="70">
        <f>Y236*(Y206+Y212)</f>
        <v>1746.2386449563533</v>
      </c>
      <c r="Z195" s="70">
        <f>Z236*(Z206+Z212)</f>
        <v>1736.7634733964312</v>
      </c>
      <c r="AA195" s="70">
        <f>AA236*(AA206+AA212)</f>
        <v>1727.3254598326967</v>
      </c>
      <c r="AB195" s="38">
        <f t="shared" ref="AB195:AB196" si="729">+AA195</f>
        <v>1727.3254598326967</v>
      </c>
      <c r="AC195" s="70">
        <f>AC236*(AC206+AC212)</f>
        <v>1839.098585955828</v>
      </c>
      <c r="AD195" s="70">
        <f>AD236*(AD206+AD212)</f>
        <v>1757.7262891686987</v>
      </c>
      <c r="AE195" s="70">
        <f>AE236*(AE206+AE212)</f>
        <v>1748.0761801674507</v>
      </c>
      <c r="AF195" s="70">
        <f>AF236*(AF206+AF212)</f>
        <v>1738.5081247322018</v>
      </c>
      <c r="AG195" s="38">
        <f t="shared" ref="AG195:AG196" si="730">+AF195</f>
        <v>1738.5081247322018</v>
      </c>
      <c r="AH195" s="70">
        <f>AH236*(AH206+AH212)</f>
        <v>1860.0500713699641</v>
      </c>
      <c r="AI195" s="70">
        <f>AI236*(AI206+AI212)</f>
        <v>1772.3978146649681</v>
      </c>
      <c r="AJ195" s="70">
        <f>AJ236*(AJ206+AJ212)</f>
        <v>1762.4991607796385</v>
      </c>
      <c r="AK195" s="70">
        <f>AK236*(AK206+AK212)</f>
        <v>1752.6744218948118</v>
      </c>
      <c r="AL195" s="38">
        <f t="shared" ref="AL195:AL196" si="731">+AK195</f>
        <v>1752.6744218948118</v>
      </c>
    </row>
    <row r="196" spans="1:38" s="20" customFormat="1" outlineLevel="1" x14ac:dyDescent="0.25">
      <c r="A196" s="449"/>
      <c r="B196" s="82" t="s">
        <v>315</v>
      </c>
      <c r="C196" s="85"/>
      <c r="D196" s="37">
        <v>472.7</v>
      </c>
      <c r="E196" s="37">
        <v>464.5</v>
      </c>
      <c r="F196" s="37">
        <v>458</v>
      </c>
      <c r="G196" s="37">
        <v>479.6</v>
      </c>
      <c r="H196" s="38">
        <f t="shared" si="725"/>
        <v>479.6</v>
      </c>
      <c r="I196" s="37">
        <v>484.7</v>
      </c>
      <c r="J196" s="37">
        <v>580.1</v>
      </c>
      <c r="K196" s="37">
        <v>550.79999999999995</v>
      </c>
      <c r="L196" s="70">
        <f>+K196*(L221/K221)</f>
        <v>538.59257310073929</v>
      </c>
      <c r="M196" s="38">
        <f t="shared" si="726"/>
        <v>538.59257310073929</v>
      </c>
      <c r="N196" s="70">
        <f>+L196*(N221/L221)</f>
        <v>540.54010683805836</v>
      </c>
      <c r="O196" s="70">
        <f>+N196*(O221/N221)</f>
        <v>524.8936650544656</v>
      </c>
      <c r="P196" s="70">
        <f>+O196*(P221/O221)</f>
        <v>514.30629816283147</v>
      </c>
      <c r="Q196" s="70">
        <f>+P196*(Q221/P221)</f>
        <v>514.35037574185139</v>
      </c>
      <c r="R196" s="38">
        <f t="shared" si="727"/>
        <v>514.35037574185139</v>
      </c>
      <c r="S196" s="70">
        <f>+Q196*(S221/Q221)</f>
        <v>527.02314554005216</v>
      </c>
      <c r="T196" s="70">
        <f>+S196*(T221/S221)</f>
        <v>516.81655314223281</v>
      </c>
      <c r="U196" s="70">
        <f>+T196*(U221/T221)</f>
        <v>516.09937832397725</v>
      </c>
      <c r="V196" s="70">
        <f>+U196*(V221/U221)</f>
        <v>520.46846015521703</v>
      </c>
      <c r="W196" s="38">
        <f t="shared" si="728"/>
        <v>520.46846015521703</v>
      </c>
      <c r="X196" s="70">
        <f>+V196*(X221/V221)</f>
        <v>536.54477727887434</v>
      </c>
      <c r="Y196" s="70">
        <f>+X196*(Y221/X221)</f>
        <v>526.47805455669936</v>
      </c>
      <c r="Z196" s="70">
        <f>+Y196*(Z221/Y221)</f>
        <v>527.75410803001171</v>
      </c>
      <c r="AA196" s="70">
        <f>+Z196*(AA221/Z221)</f>
        <v>534.49627165860204</v>
      </c>
      <c r="AB196" s="38">
        <f t="shared" si="729"/>
        <v>534.49627165860204</v>
      </c>
      <c r="AC196" s="70">
        <f>+AA196*(AC221/AA221)</f>
        <v>551.78316285746666</v>
      </c>
      <c r="AD196" s="70">
        <f>+AC196*(AD221/AC221)</f>
        <v>541.09852712991608</v>
      </c>
      <c r="AE196" s="70">
        <f>+AD196*(AE221/AD221)</f>
        <v>542.0731430156784</v>
      </c>
      <c r="AF196" s="70">
        <f>+AE196*(AF221/AE221)</f>
        <v>549.39259242335095</v>
      </c>
      <c r="AG196" s="38">
        <f t="shared" si="730"/>
        <v>549.39259242335095</v>
      </c>
      <c r="AH196" s="70">
        <f>+AF196*(AH221/AF221)</f>
        <v>563.44337493297246</v>
      </c>
      <c r="AI196" s="70">
        <f>+AH196*(AI221/AH221)</f>
        <v>547.46544903071481</v>
      </c>
      <c r="AJ196" s="70">
        <f>+AI196*(AJ221/AI221)</f>
        <v>544.447870927032</v>
      </c>
      <c r="AK196" s="70">
        <f>+AJ196*(AK221/AJ221)</f>
        <v>547.14372049395274</v>
      </c>
      <c r="AL196" s="38">
        <f t="shared" si="731"/>
        <v>547.14372049395274</v>
      </c>
    </row>
    <row r="197" spans="1:38" s="20" customFormat="1" outlineLevel="1" x14ac:dyDescent="0.25">
      <c r="A197" s="449"/>
      <c r="B197" s="82" t="s">
        <v>226</v>
      </c>
      <c r="C197" s="85"/>
      <c r="D197" s="37">
        <v>981.6</v>
      </c>
      <c r="E197" s="37">
        <v>918.3</v>
      </c>
      <c r="F197" s="37">
        <v>853.2</v>
      </c>
      <c r="G197" s="37">
        <v>781.8</v>
      </c>
      <c r="H197" s="38">
        <f>+G197</f>
        <v>781.8</v>
      </c>
      <c r="I197" s="37">
        <v>739.1</v>
      </c>
      <c r="J197" s="37">
        <v>678.7</v>
      </c>
      <c r="K197" s="37">
        <v>599.6</v>
      </c>
      <c r="L197" s="70">
        <f>+K197*0.94</f>
        <v>563.62400000000002</v>
      </c>
      <c r="M197" s="38">
        <f>+L197</f>
        <v>563.62400000000002</v>
      </c>
      <c r="N197" s="70">
        <f>+L197*0.94</f>
        <v>529.80655999999999</v>
      </c>
      <c r="O197" s="70">
        <f>+N197*0.94</f>
        <v>498.01816639999998</v>
      </c>
      <c r="P197" s="70">
        <f>+O197*0.94</f>
        <v>468.13707641599996</v>
      </c>
      <c r="Q197" s="70">
        <f>+P197*0.94</f>
        <v>440.04885183103994</v>
      </c>
      <c r="R197" s="38">
        <f>+Q197</f>
        <v>440.04885183103994</v>
      </c>
      <c r="S197" s="70">
        <f>+Q197*0.94</f>
        <v>413.6459207211775</v>
      </c>
      <c r="T197" s="70">
        <f>+S197*0.94</f>
        <v>388.82716547790682</v>
      </c>
      <c r="U197" s="70">
        <f>+T197*0.94</f>
        <v>365.4975355492324</v>
      </c>
      <c r="V197" s="70">
        <f>+U197*0.94</f>
        <v>343.56768341627844</v>
      </c>
      <c r="W197" s="38">
        <f>+V197</f>
        <v>343.56768341627844</v>
      </c>
      <c r="X197" s="70">
        <f>+V197*0.94</f>
        <v>322.95362241130169</v>
      </c>
      <c r="Y197" s="70">
        <f>+X197*0.94</f>
        <v>303.57640506662358</v>
      </c>
      <c r="Z197" s="70">
        <f>+Y197*0.94</f>
        <v>285.36182076262617</v>
      </c>
      <c r="AA197" s="70">
        <f>+Z197*0.94</f>
        <v>268.24011151686858</v>
      </c>
      <c r="AB197" s="38">
        <f>+AA197</f>
        <v>268.24011151686858</v>
      </c>
      <c r="AC197" s="70">
        <f>+AA197*0.94</f>
        <v>252.14570482585646</v>
      </c>
      <c r="AD197" s="70">
        <f>+AC197*0.94</f>
        <v>237.01696253630504</v>
      </c>
      <c r="AE197" s="70">
        <f>+AD197*0.94</f>
        <v>222.79594478412673</v>
      </c>
      <c r="AF197" s="70">
        <f>+AE197*0.94</f>
        <v>209.42818809707913</v>
      </c>
      <c r="AG197" s="38">
        <f>+AF197</f>
        <v>209.42818809707913</v>
      </c>
      <c r="AH197" s="70">
        <f>+AF197*0.94</f>
        <v>196.86249681125437</v>
      </c>
      <c r="AI197" s="70">
        <f>+AH197*0.94</f>
        <v>185.0507470025791</v>
      </c>
      <c r="AJ197" s="70">
        <f>+AI197*0.94</f>
        <v>173.94770218242434</v>
      </c>
      <c r="AK197" s="70">
        <f>+AJ197*0.94</f>
        <v>163.51084005147888</v>
      </c>
      <c r="AL197" s="38">
        <f>+AK197</f>
        <v>163.51084005147888</v>
      </c>
    </row>
    <row r="198" spans="1:38" ht="17.25" outlineLevel="1" x14ac:dyDescent="0.4">
      <c r="A198" s="449"/>
      <c r="B198" s="510" t="s">
        <v>37</v>
      </c>
      <c r="C198" s="511"/>
      <c r="D198" s="40">
        <v>3560.3</v>
      </c>
      <c r="E198" s="40">
        <v>3603.5</v>
      </c>
      <c r="F198" s="40">
        <v>3564.7</v>
      </c>
      <c r="G198" s="40">
        <v>3490.8</v>
      </c>
      <c r="H198" s="41">
        <f>G198</f>
        <v>3490.8</v>
      </c>
      <c r="I198" s="40">
        <v>3515.9</v>
      </c>
      <c r="J198" s="40">
        <v>3493</v>
      </c>
      <c r="K198" s="40">
        <v>3510.1</v>
      </c>
      <c r="L198" s="68">
        <f t="shared" ref="L198" si="732">+K198</f>
        <v>3510.1</v>
      </c>
      <c r="M198" s="41">
        <f>L198</f>
        <v>3510.1</v>
      </c>
      <c r="N198" s="68">
        <f>+L198</f>
        <v>3510.1</v>
      </c>
      <c r="O198" s="68">
        <f>+N198</f>
        <v>3510.1</v>
      </c>
      <c r="P198" s="68">
        <f t="shared" ref="P198:Q198" si="733">+O198</f>
        <v>3510.1</v>
      </c>
      <c r="Q198" s="68">
        <f t="shared" si="733"/>
        <v>3510.1</v>
      </c>
      <c r="R198" s="41">
        <f>Q198</f>
        <v>3510.1</v>
      </c>
      <c r="S198" s="68">
        <f>+Q198</f>
        <v>3510.1</v>
      </c>
      <c r="T198" s="68">
        <f>+S198</f>
        <v>3510.1</v>
      </c>
      <c r="U198" s="68">
        <f t="shared" ref="U198:V198" si="734">+T198</f>
        <v>3510.1</v>
      </c>
      <c r="V198" s="68">
        <f t="shared" si="734"/>
        <v>3510.1</v>
      </c>
      <c r="W198" s="41">
        <f>V198</f>
        <v>3510.1</v>
      </c>
      <c r="X198" s="68">
        <f>+V198</f>
        <v>3510.1</v>
      </c>
      <c r="Y198" s="68">
        <f>+X198</f>
        <v>3510.1</v>
      </c>
      <c r="Z198" s="68">
        <f t="shared" ref="Z198:AA198" si="735">+Y198</f>
        <v>3510.1</v>
      </c>
      <c r="AA198" s="68">
        <f t="shared" si="735"/>
        <v>3510.1</v>
      </c>
      <c r="AB198" s="41">
        <f>AA198</f>
        <v>3510.1</v>
      </c>
      <c r="AC198" s="68">
        <f>+AA198</f>
        <v>3510.1</v>
      </c>
      <c r="AD198" s="68">
        <f>+AC198</f>
        <v>3510.1</v>
      </c>
      <c r="AE198" s="68">
        <f t="shared" ref="AE198" si="736">+AD198</f>
        <v>3510.1</v>
      </c>
      <c r="AF198" s="68">
        <f t="shared" ref="AF198" si="737">+AE198</f>
        <v>3510.1</v>
      </c>
      <c r="AG198" s="41">
        <f>AF198</f>
        <v>3510.1</v>
      </c>
      <c r="AH198" s="68">
        <f>+AF198</f>
        <v>3510.1</v>
      </c>
      <c r="AI198" s="68">
        <f>+AH198</f>
        <v>3510.1</v>
      </c>
      <c r="AJ198" s="68">
        <f t="shared" ref="AJ198" si="738">+AI198</f>
        <v>3510.1</v>
      </c>
      <c r="AK198" s="68">
        <f t="shared" ref="AK198" si="739">+AJ198</f>
        <v>3510.1</v>
      </c>
      <c r="AL198" s="41">
        <f>AK198</f>
        <v>3510.1</v>
      </c>
    </row>
    <row r="199" spans="1:38" outlineLevel="1" x14ac:dyDescent="0.25">
      <c r="A199" s="449"/>
      <c r="B199" s="555" t="s">
        <v>5</v>
      </c>
      <c r="C199" s="556"/>
      <c r="D199" s="44">
        <f t="shared" ref="D199:AB199" si="740">+SUM(D190:D198)</f>
        <v>19981.3</v>
      </c>
      <c r="E199" s="44">
        <f t="shared" si="740"/>
        <v>17641.900000000001</v>
      </c>
      <c r="F199" s="44">
        <f t="shared" si="740"/>
        <v>20894.500000000004</v>
      </c>
      <c r="G199" s="44">
        <f t="shared" si="740"/>
        <v>19219.400000000001</v>
      </c>
      <c r="H199" s="45">
        <f t="shared" si="740"/>
        <v>19219.400000000001</v>
      </c>
      <c r="I199" s="44">
        <f t="shared" si="740"/>
        <v>27731.300000000007</v>
      </c>
      <c r="J199" s="44">
        <f t="shared" si="740"/>
        <v>27478.9</v>
      </c>
      <c r="K199" s="44">
        <f t="shared" si="740"/>
        <v>29140.600000000002</v>
      </c>
      <c r="L199" s="44">
        <f t="shared" si="740"/>
        <v>28494.754422112204</v>
      </c>
      <c r="M199" s="45">
        <f t="shared" si="740"/>
        <v>28494.754422112204</v>
      </c>
      <c r="N199" s="44">
        <f t="shared" si="740"/>
        <v>28597.690554330282</v>
      </c>
      <c r="O199" s="44">
        <f t="shared" si="740"/>
        <v>27769.900609815111</v>
      </c>
      <c r="P199" s="44">
        <f t="shared" si="740"/>
        <v>27209.765853746921</v>
      </c>
      <c r="Q199" s="44">
        <f t="shared" si="740"/>
        <v>27212.097820157946</v>
      </c>
      <c r="R199" s="45">
        <f t="shared" si="740"/>
        <v>27212.097820157946</v>
      </c>
      <c r="S199" s="44">
        <f t="shared" si="740"/>
        <v>27882.562808504801</v>
      </c>
      <c r="T199" s="44">
        <f t="shared" si="740"/>
        <v>27342.573290661861</v>
      </c>
      <c r="U199" s="44">
        <f t="shared" si="740"/>
        <v>27304.630472018322</v>
      </c>
      <c r="V199" s="44">
        <f t="shared" si="740"/>
        <v>27535.780918662163</v>
      </c>
      <c r="W199" s="45">
        <f t="shared" si="740"/>
        <v>27535.780918662163</v>
      </c>
      <c r="X199" s="44">
        <f t="shared" si="740"/>
        <v>28386.3138285635</v>
      </c>
      <c r="Y199" s="44">
        <f t="shared" si="740"/>
        <v>27853.724249482493</v>
      </c>
      <c r="Z199" s="44">
        <f t="shared" si="740"/>
        <v>27921.235077086716</v>
      </c>
      <c r="AA199" s="44">
        <f t="shared" si="740"/>
        <v>28277.935682452193</v>
      </c>
      <c r="AB199" s="45">
        <f t="shared" si="740"/>
        <v>28277.935682452193</v>
      </c>
      <c r="AC199" s="44">
        <f t="shared" ref="AC199:AG199" si="741">+SUM(AC190:AC198)</f>
        <v>29192.515169869821</v>
      </c>
      <c r="AD199" s="44">
        <f t="shared" si="741"/>
        <v>28627.234313148219</v>
      </c>
      <c r="AE199" s="44">
        <f t="shared" si="741"/>
        <v>28678.797297317873</v>
      </c>
      <c r="AF199" s="44">
        <f t="shared" si="741"/>
        <v>29066.039758118932</v>
      </c>
      <c r="AG199" s="45">
        <f t="shared" si="741"/>
        <v>29066.039758118932</v>
      </c>
      <c r="AH199" s="44">
        <f t="shared" ref="AH199:AL199" si="742">+SUM(AH190:AH198)</f>
        <v>29809.40982493063</v>
      </c>
      <c r="AI199" s="44">
        <f t="shared" si="742"/>
        <v>28964.082396558566</v>
      </c>
      <c r="AJ199" s="44">
        <f t="shared" si="742"/>
        <v>28804.434545272841</v>
      </c>
      <c r="AK199" s="44">
        <f t="shared" si="742"/>
        <v>28947.061041078596</v>
      </c>
      <c r="AL199" s="45">
        <f t="shared" si="742"/>
        <v>28947.061041078596</v>
      </c>
    </row>
    <row r="200" spans="1:38" ht="18" x14ac:dyDescent="0.4">
      <c r="A200" s="449"/>
      <c r="B200" s="512" t="s">
        <v>7</v>
      </c>
      <c r="C200" s="513"/>
      <c r="D200" s="35" t="s">
        <v>123</v>
      </c>
      <c r="E200" s="35" t="s">
        <v>281</v>
      </c>
      <c r="F200" s="35" t="s">
        <v>285</v>
      </c>
      <c r="G200" s="35" t="s">
        <v>295</v>
      </c>
      <c r="H200" s="102" t="s">
        <v>296</v>
      </c>
      <c r="I200" s="35" t="s">
        <v>297</v>
      </c>
      <c r="J200" s="35" t="s">
        <v>298</v>
      </c>
      <c r="K200" s="35" t="s">
        <v>299</v>
      </c>
      <c r="L200" s="33" t="s">
        <v>141</v>
      </c>
      <c r="M200" s="105" t="s">
        <v>142</v>
      </c>
      <c r="N200" s="33" t="s">
        <v>143</v>
      </c>
      <c r="O200" s="33" t="s">
        <v>144</v>
      </c>
      <c r="P200" s="33" t="s">
        <v>145</v>
      </c>
      <c r="Q200" s="33" t="s">
        <v>146</v>
      </c>
      <c r="R200" s="105" t="s">
        <v>147</v>
      </c>
      <c r="S200" s="33" t="s">
        <v>148</v>
      </c>
      <c r="T200" s="33" t="s">
        <v>149</v>
      </c>
      <c r="U200" s="33" t="s">
        <v>150</v>
      </c>
      <c r="V200" s="33" t="s">
        <v>151</v>
      </c>
      <c r="W200" s="105" t="s">
        <v>152</v>
      </c>
      <c r="X200" s="33" t="s">
        <v>153</v>
      </c>
      <c r="Y200" s="33" t="s">
        <v>154</v>
      </c>
      <c r="Z200" s="33" t="s">
        <v>155</v>
      </c>
      <c r="AA200" s="33" t="s">
        <v>156</v>
      </c>
      <c r="AB200" s="105" t="s">
        <v>157</v>
      </c>
      <c r="AC200" s="33" t="s">
        <v>290</v>
      </c>
      <c r="AD200" s="33" t="s">
        <v>291</v>
      </c>
      <c r="AE200" s="33" t="s">
        <v>292</v>
      </c>
      <c r="AF200" s="33" t="s">
        <v>293</v>
      </c>
      <c r="AG200" s="105" t="s">
        <v>294</v>
      </c>
      <c r="AH200" s="33" t="s">
        <v>323</v>
      </c>
      <c r="AI200" s="33" t="s">
        <v>324</v>
      </c>
      <c r="AJ200" s="33" t="s">
        <v>325</v>
      </c>
      <c r="AK200" s="33" t="s">
        <v>326</v>
      </c>
      <c r="AL200" s="105" t="s">
        <v>327</v>
      </c>
    </row>
    <row r="201" spans="1:38" s="46" customFormat="1" outlineLevel="1" x14ac:dyDescent="0.25">
      <c r="A201" s="449"/>
      <c r="B201" s="514" t="s">
        <v>38</v>
      </c>
      <c r="C201" s="515"/>
      <c r="D201" s="97">
        <v>1100.5</v>
      </c>
      <c r="E201" s="97">
        <v>1096.7</v>
      </c>
      <c r="F201" s="97">
        <v>1145.4000000000001</v>
      </c>
      <c r="G201" s="97">
        <v>1189.7</v>
      </c>
      <c r="H201" s="98">
        <f>G201</f>
        <v>1189.7</v>
      </c>
      <c r="I201" s="97">
        <v>1085.5999999999999</v>
      </c>
      <c r="J201" s="97">
        <v>997.7</v>
      </c>
      <c r="K201" s="97">
        <v>860.8</v>
      </c>
      <c r="L201" s="97">
        <f>(L22/L230)</f>
        <v>1072.4935271762361</v>
      </c>
      <c r="M201" s="98">
        <f>L201</f>
        <v>1072.4935271762361</v>
      </c>
      <c r="N201" s="97">
        <f>(N22/N230)</f>
        <v>1046.8096771923936</v>
      </c>
      <c r="O201" s="97">
        <f>(O22/O230)</f>
        <v>952.24107860925847</v>
      </c>
      <c r="P201" s="97">
        <f>(P22/P230)</f>
        <v>923.31549545853227</v>
      </c>
      <c r="Q201" s="97">
        <f>(Q22/Q230)</f>
        <v>1027.1368387175614</v>
      </c>
      <c r="R201" s="98">
        <f>Q201</f>
        <v>1027.1368387175614</v>
      </c>
      <c r="S201" s="97">
        <f>(S22/S230)</f>
        <v>1062.5165346592337</v>
      </c>
      <c r="T201" s="97">
        <f>(T22/T230)</f>
        <v>966.65780443078154</v>
      </c>
      <c r="U201" s="97">
        <f>(U22/U230)</f>
        <v>900.95356607054646</v>
      </c>
      <c r="V201" s="97">
        <f>(V22/V230)</f>
        <v>1070.7269165274442</v>
      </c>
      <c r="W201" s="98">
        <f>V201</f>
        <v>1070.7269165274442</v>
      </c>
      <c r="X201" s="97">
        <f>(X22/X230)</f>
        <v>1074.9325602927231</v>
      </c>
      <c r="Y201" s="97">
        <f>(Y22/Y230)</f>
        <v>982.62692589242261</v>
      </c>
      <c r="Z201" s="97">
        <f>(Z22/Z230)</f>
        <v>942.28949825113045</v>
      </c>
      <c r="AA201" s="97">
        <f>(AA22/AA230)</f>
        <v>1101.9149548688385</v>
      </c>
      <c r="AB201" s="98">
        <f>AA201</f>
        <v>1101.9149548688385</v>
      </c>
      <c r="AC201" s="97">
        <f>(AC22/AC230)</f>
        <v>1105.6644290382324</v>
      </c>
      <c r="AD201" s="97">
        <f>(AD22/AD230)</f>
        <v>1009.373853503763</v>
      </c>
      <c r="AE201" s="97">
        <f>(AE22/AE230)</f>
        <v>961.49223321345562</v>
      </c>
      <c r="AF201" s="97">
        <f>(AF22/AF230)</f>
        <v>1133.6908421459927</v>
      </c>
      <c r="AG201" s="98">
        <f>AF201</f>
        <v>1133.6908421459927</v>
      </c>
      <c r="AH201" s="97">
        <f>(AH22/AH230)</f>
        <v>1141.1794936662573</v>
      </c>
      <c r="AI201" s="97">
        <f>(AI22/AI230)</f>
        <v>1038.5841187250105</v>
      </c>
      <c r="AJ201" s="97">
        <f>(AJ22/AJ230)</f>
        <v>996.94715632234227</v>
      </c>
      <c r="AK201" s="97">
        <f>(AK22/AK230)</f>
        <v>1173.4984366573287</v>
      </c>
      <c r="AL201" s="98">
        <f>AK201</f>
        <v>1173.4984366573287</v>
      </c>
    </row>
    <row r="202" spans="1:38" outlineLevel="1" x14ac:dyDescent="0.25">
      <c r="A202" s="449"/>
      <c r="B202" s="514" t="s">
        <v>227</v>
      </c>
      <c r="C202" s="515"/>
      <c r="D202" s="97">
        <v>2564</v>
      </c>
      <c r="E202" s="97">
        <v>2569.3000000000002</v>
      </c>
      <c r="F202" s="97">
        <v>3238.7</v>
      </c>
      <c r="G202" s="97">
        <v>1753.7</v>
      </c>
      <c r="H202" s="98">
        <f>G202</f>
        <v>1753.7</v>
      </c>
      <c r="I202" s="97">
        <v>1637.8</v>
      </c>
      <c r="J202" s="97">
        <v>1539</v>
      </c>
      <c r="K202" s="97">
        <v>1511.7</v>
      </c>
      <c r="L202" s="70">
        <f>((G24-G23-G21)/(F24-F23-F21)*K202)</f>
        <v>1512.3442420648898</v>
      </c>
      <c r="M202" s="98">
        <f>L202</f>
        <v>1512.3442420648898</v>
      </c>
      <c r="N202" s="70">
        <f>((I24-I23-I21)/(G24-G23-G21)*M202)</f>
        <v>1566.8807333839802</v>
      </c>
      <c r="O202" s="70">
        <f t="shared" ref="O202:Q202" si="743">((J24-J23-J21)/(I24-I23-I21)*N202)</f>
        <v>1462.3174452000228</v>
      </c>
      <c r="P202" s="70">
        <f t="shared" si="743"/>
        <v>1275.9634252997093</v>
      </c>
      <c r="Q202" s="70">
        <f t="shared" si="743"/>
        <v>1432.5867116106099</v>
      </c>
      <c r="R202" s="98">
        <f>Q202</f>
        <v>1432.5867116106099</v>
      </c>
      <c r="S202" s="70">
        <f>((N24-N23-N21)/(L24-L23-L21)*R202)</f>
        <v>1539.1841089953953</v>
      </c>
      <c r="T202" s="70">
        <f t="shared" ref="T202" si="744">((O24-O23-O21)/(N24-N23-N21)*S202)</f>
        <v>1478.9727442640128</v>
      </c>
      <c r="U202" s="70">
        <f t="shared" ref="U202" si="745">((P24-P23-P21)/(O24-O23-O21)*T202)</f>
        <v>1523.9497240802123</v>
      </c>
      <c r="V202" s="70">
        <f t="shared" ref="V202" si="746">((Q24-Q23-Q21)/(P24-P23-P21)*U202)</f>
        <v>1558.8677980401478</v>
      </c>
      <c r="W202" s="98">
        <f>V202</f>
        <v>1558.8677980401478</v>
      </c>
      <c r="X202" s="70">
        <f>((S24-S23-S21)/(Q24-Q23-Q21)*W202)</f>
        <v>1700.5505532362879</v>
      </c>
      <c r="Y202" s="70">
        <f t="shared" ref="Y202" si="747">((T24-T23-T21)/(S24-S23-S21)*X202)</f>
        <v>1559.7935732909007</v>
      </c>
      <c r="Z202" s="70">
        <f t="shared" ref="Z202" si="748">((U24-U23-U21)/(T24-T23-T21)*Y202)</f>
        <v>1580.0391817772647</v>
      </c>
      <c r="AA202" s="70">
        <f t="shared" ref="AA202" si="749">((V24-V23-V21)/(U24-U23-U21)*Z202)</f>
        <v>1638.7045003919568</v>
      </c>
      <c r="AB202" s="98">
        <f>AA202</f>
        <v>1638.7045003919568</v>
      </c>
      <c r="AC202" s="70">
        <f>((X24-X23-X21)/(V24-V23-V21)*AB202)</f>
        <v>1786.2787147938341</v>
      </c>
      <c r="AD202" s="70">
        <f t="shared" ref="AD202" si="750">((Y24-Y23-Y21)/(X24-X23-X21)*AC202)</f>
        <v>1643.0059735152252</v>
      </c>
      <c r="AE202" s="70">
        <f t="shared" ref="AE202" si="751">((Z24-Z23-Z21)/(Y24-Y23-Y21)*AD202)</f>
        <v>1670.7500392786881</v>
      </c>
      <c r="AF202" s="70">
        <f t="shared" ref="AF202" si="752">((AA24-AA23-AA21)/(Z24-Z23-Z21)*AE202)</f>
        <v>1734.9060420566873</v>
      </c>
      <c r="AG202" s="98">
        <f>AF202</f>
        <v>1734.9060420566873</v>
      </c>
      <c r="AH202" s="70">
        <f>((AC24-AC23-AC21)/(AA24-AA23-AA21)*AG202)</f>
        <v>1882.0867484121968</v>
      </c>
      <c r="AI202" s="70">
        <f t="shared" ref="AI202" si="753">((AD24-AD23-AD21)/(AC24-AC23-AC21)*AH202)</f>
        <v>1729.7446921807898</v>
      </c>
      <c r="AJ202" s="70">
        <f t="shared" ref="AJ202" si="754">((AE24-AE23-AE21)/(AD24-AD23-AD21)*AI202)</f>
        <v>1769.6107868285701</v>
      </c>
      <c r="AK202" s="70">
        <f t="shared" ref="AK202" si="755">((AF24-AF23-AF21)/(AE24-AE23-AE21)*AJ202)</f>
        <v>1830.2375054550023</v>
      </c>
      <c r="AL202" s="98">
        <f>AK202</f>
        <v>1830.2375054550023</v>
      </c>
    </row>
    <row r="203" spans="1:38" outlineLevel="1" x14ac:dyDescent="0.25">
      <c r="A203" s="449"/>
      <c r="B203" s="339" t="s">
        <v>310</v>
      </c>
      <c r="C203" s="340"/>
      <c r="D203" s="97">
        <v>0</v>
      </c>
      <c r="E203" s="97">
        <v>0</v>
      </c>
      <c r="F203" s="97">
        <v>0</v>
      </c>
      <c r="G203" s="97">
        <v>664.6</v>
      </c>
      <c r="H203" s="98">
        <f t="shared" ref="H203:H213" si="756">G203</f>
        <v>664.6</v>
      </c>
      <c r="I203" s="97">
        <v>578.5</v>
      </c>
      <c r="J203" s="97">
        <v>596.1</v>
      </c>
      <c r="K203" s="97">
        <v>652.1</v>
      </c>
      <c r="L203" s="70">
        <f>K203</f>
        <v>652.1</v>
      </c>
      <c r="M203" s="98">
        <f t="shared" ref="M203:M205" si="757">L203</f>
        <v>652.1</v>
      </c>
      <c r="N203" s="70">
        <f>L203</f>
        <v>652.1</v>
      </c>
      <c r="O203" s="70">
        <f>N203</f>
        <v>652.1</v>
      </c>
      <c r="P203" s="70">
        <f t="shared" ref="P203:R213" si="758">O203</f>
        <v>652.1</v>
      </c>
      <c r="Q203" s="70">
        <f t="shared" si="758"/>
        <v>652.1</v>
      </c>
      <c r="R203" s="98">
        <f t="shared" si="758"/>
        <v>652.1</v>
      </c>
      <c r="S203" s="70">
        <f>Q203</f>
        <v>652.1</v>
      </c>
      <c r="T203" s="70">
        <f>S203</f>
        <v>652.1</v>
      </c>
      <c r="U203" s="70">
        <f t="shared" ref="U203:V203" si="759">T203</f>
        <v>652.1</v>
      </c>
      <c r="V203" s="70">
        <f t="shared" si="759"/>
        <v>652.1</v>
      </c>
      <c r="W203" s="98">
        <f t="shared" ref="W203:W213" si="760">V203</f>
        <v>652.1</v>
      </c>
      <c r="X203" s="70">
        <f>V203</f>
        <v>652.1</v>
      </c>
      <c r="Y203" s="70">
        <f>X203</f>
        <v>652.1</v>
      </c>
      <c r="Z203" s="70">
        <f t="shared" ref="Z203:AA203" si="761">Y203</f>
        <v>652.1</v>
      </c>
      <c r="AA203" s="70">
        <f t="shared" si="761"/>
        <v>652.1</v>
      </c>
      <c r="AB203" s="98">
        <f t="shared" ref="AB203:AB213" si="762">AA203</f>
        <v>652.1</v>
      </c>
      <c r="AC203" s="70">
        <f>AA203</f>
        <v>652.1</v>
      </c>
      <c r="AD203" s="70">
        <f>AC203</f>
        <v>652.1</v>
      </c>
      <c r="AE203" s="70">
        <f t="shared" ref="AE203:AF203" si="763">AD203</f>
        <v>652.1</v>
      </c>
      <c r="AF203" s="70">
        <f t="shared" si="763"/>
        <v>652.1</v>
      </c>
      <c r="AG203" s="98">
        <f t="shared" ref="AG203:AG213" si="764">AF203</f>
        <v>652.1</v>
      </c>
      <c r="AH203" s="70">
        <f>AF203</f>
        <v>652.1</v>
      </c>
      <c r="AI203" s="70">
        <f>AH203</f>
        <v>652.1</v>
      </c>
      <c r="AJ203" s="70">
        <f t="shared" ref="AJ203:AK203" si="765">AI203</f>
        <v>652.1</v>
      </c>
      <c r="AK203" s="70">
        <f t="shared" si="765"/>
        <v>652.1</v>
      </c>
      <c r="AL203" s="98">
        <f t="shared" ref="AL203:AL213" si="766">AK203</f>
        <v>652.1</v>
      </c>
    </row>
    <row r="204" spans="1:38" outlineLevel="1" x14ac:dyDescent="0.25">
      <c r="A204" s="449"/>
      <c r="B204" s="339" t="s">
        <v>311</v>
      </c>
      <c r="C204" s="340"/>
      <c r="D204" s="97">
        <v>0</v>
      </c>
      <c r="E204" s="97">
        <v>0</v>
      </c>
      <c r="F204" s="97">
        <v>0</v>
      </c>
      <c r="G204" s="97">
        <v>1291.7</v>
      </c>
      <c r="H204" s="98">
        <f t="shared" si="756"/>
        <v>1291.7</v>
      </c>
      <c r="I204" s="97">
        <v>1414</v>
      </c>
      <c r="J204" s="97">
        <v>86.7</v>
      </c>
      <c r="K204" s="97">
        <v>90.9</v>
      </c>
      <c r="L204" s="70">
        <f t="shared" ref="L204" si="767">K204</f>
        <v>90.9</v>
      </c>
      <c r="M204" s="98">
        <f t="shared" si="757"/>
        <v>90.9</v>
      </c>
      <c r="N204" s="70">
        <f t="shared" ref="N204" si="768">L204</f>
        <v>90.9</v>
      </c>
      <c r="O204" s="70">
        <f t="shared" ref="O204:Q204" si="769">N204</f>
        <v>90.9</v>
      </c>
      <c r="P204" s="70">
        <f t="shared" si="769"/>
        <v>90.9</v>
      </c>
      <c r="Q204" s="70">
        <f t="shared" si="769"/>
        <v>90.9</v>
      </c>
      <c r="R204" s="98">
        <f t="shared" si="758"/>
        <v>90.9</v>
      </c>
      <c r="S204" s="70">
        <f t="shared" ref="S204" si="770">Q204</f>
        <v>90.9</v>
      </c>
      <c r="T204" s="70">
        <f t="shared" ref="T204:V204" si="771">S204</f>
        <v>90.9</v>
      </c>
      <c r="U204" s="70">
        <f t="shared" si="771"/>
        <v>90.9</v>
      </c>
      <c r="V204" s="70">
        <f t="shared" si="771"/>
        <v>90.9</v>
      </c>
      <c r="W204" s="98">
        <f t="shared" si="760"/>
        <v>90.9</v>
      </c>
      <c r="X204" s="70">
        <f t="shared" ref="X204" si="772">V204</f>
        <v>90.9</v>
      </c>
      <c r="Y204" s="70">
        <f t="shared" ref="Y204:AA204" si="773">X204</f>
        <v>90.9</v>
      </c>
      <c r="Z204" s="70">
        <f t="shared" si="773"/>
        <v>90.9</v>
      </c>
      <c r="AA204" s="70">
        <f t="shared" si="773"/>
        <v>90.9</v>
      </c>
      <c r="AB204" s="98">
        <f t="shared" si="762"/>
        <v>90.9</v>
      </c>
      <c r="AC204" s="70">
        <f t="shared" ref="AC204" si="774">AA204</f>
        <v>90.9</v>
      </c>
      <c r="AD204" s="70">
        <f t="shared" ref="AD204:AF204" si="775">AC204</f>
        <v>90.9</v>
      </c>
      <c r="AE204" s="70">
        <f t="shared" si="775"/>
        <v>90.9</v>
      </c>
      <c r="AF204" s="70">
        <f t="shared" si="775"/>
        <v>90.9</v>
      </c>
      <c r="AG204" s="98">
        <f t="shared" si="764"/>
        <v>90.9</v>
      </c>
      <c r="AH204" s="70">
        <f t="shared" ref="AH204" si="776">AF204</f>
        <v>90.9</v>
      </c>
      <c r="AI204" s="70">
        <f t="shared" ref="AI204:AK204" si="777">AH204</f>
        <v>90.9</v>
      </c>
      <c r="AJ204" s="70">
        <f t="shared" si="777"/>
        <v>90.9</v>
      </c>
      <c r="AK204" s="70">
        <f t="shared" si="777"/>
        <v>90.9</v>
      </c>
      <c r="AL204" s="98">
        <f t="shared" si="766"/>
        <v>90.9</v>
      </c>
    </row>
    <row r="205" spans="1:38" outlineLevel="1" x14ac:dyDescent="0.25">
      <c r="A205" s="449"/>
      <c r="B205" s="339" t="s">
        <v>312</v>
      </c>
      <c r="C205" s="340"/>
      <c r="D205" s="97">
        <v>0</v>
      </c>
      <c r="E205" s="97">
        <v>0</v>
      </c>
      <c r="F205" s="97">
        <v>0</v>
      </c>
      <c r="G205" s="97">
        <v>0</v>
      </c>
      <c r="H205" s="98">
        <f t="shared" si="756"/>
        <v>0</v>
      </c>
      <c r="I205" s="97">
        <v>1268.9000000000001</v>
      </c>
      <c r="J205" s="97">
        <v>1253.5</v>
      </c>
      <c r="K205" s="97">
        <v>1237.0999999999999</v>
      </c>
      <c r="L205" s="70">
        <f>K205*0.99</f>
        <v>1224.7289999999998</v>
      </c>
      <c r="M205" s="98">
        <f t="shared" si="757"/>
        <v>1224.7289999999998</v>
      </c>
      <c r="N205" s="70">
        <f>L205*0.99</f>
        <v>1212.4817099999998</v>
      </c>
      <c r="O205" s="70">
        <f>N205*0.99</f>
        <v>1200.3568928999998</v>
      </c>
      <c r="P205" s="70">
        <f>O205*0.99</f>
        <v>1188.3533239709998</v>
      </c>
      <c r="Q205" s="70">
        <f>P205*0.99</f>
        <v>1176.4697907312898</v>
      </c>
      <c r="R205" s="98">
        <f t="shared" si="758"/>
        <v>1176.4697907312898</v>
      </c>
      <c r="S205" s="70">
        <f>Q205*0.99</f>
        <v>1164.7050928239769</v>
      </c>
      <c r="T205" s="70">
        <f>S205*0.99</f>
        <v>1153.058041895737</v>
      </c>
      <c r="U205" s="70">
        <f>T205*0.99</f>
        <v>1141.5274614767795</v>
      </c>
      <c r="V205" s="70">
        <f>U205*0.99</f>
        <v>1130.1121868620116</v>
      </c>
      <c r="W205" s="98">
        <f t="shared" si="760"/>
        <v>1130.1121868620116</v>
      </c>
      <c r="X205" s="70">
        <f>V205*0.99</f>
        <v>1118.8110649933915</v>
      </c>
      <c r="Y205" s="70">
        <f>X205*0.99</f>
        <v>1107.6229543434576</v>
      </c>
      <c r="Z205" s="70">
        <f>Y205*0.99</f>
        <v>1096.546724800023</v>
      </c>
      <c r="AA205" s="70">
        <f>Z205*0.99</f>
        <v>1085.5812575520226</v>
      </c>
      <c r="AB205" s="98">
        <f t="shared" si="762"/>
        <v>1085.5812575520226</v>
      </c>
      <c r="AC205" s="70">
        <f>AA205*0.99</f>
        <v>1074.7254449765023</v>
      </c>
      <c r="AD205" s="70">
        <f>AC205*0.99</f>
        <v>1063.9781905267373</v>
      </c>
      <c r="AE205" s="70">
        <f>AD205*0.99</f>
        <v>1053.3384086214699</v>
      </c>
      <c r="AF205" s="70">
        <f>AE205*0.99</f>
        <v>1042.8050245352551</v>
      </c>
      <c r="AG205" s="98">
        <f t="shared" si="764"/>
        <v>1042.8050245352551</v>
      </c>
      <c r="AH205" s="70">
        <f>AF205*0.99</f>
        <v>1032.3769742899026</v>
      </c>
      <c r="AI205" s="70">
        <f>AH205*0.99</f>
        <v>1022.0532045470036</v>
      </c>
      <c r="AJ205" s="70">
        <f>AI205*0.99</f>
        <v>1011.8326725015336</v>
      </c>
      <c r="AK205" s="70">
        <f>AJ205*0.99</f>
        <v>1001.7143457765183</v>
      </c>
      <c r="AL205" s="98">
        <f t="shared" si="766"/>
        <v>1001.7143457765183</v>
      </c>
    </row>
    <row r="206" spans="1:38" outlineLevel="1" x14ac:dyDescent="0.25">
      <c r="A206" s="449"/>
      <c r="B206" s="426" t="s">
        <v>228</v>
      </c>
      <c r="C206" s="427"/>
      <c r="D206" s="97">
        <v>1554.2</v>
      </c>
      <c r="E206" s="97">
        <v>1311.4</v>
      </c>
      <c r="F206" s="97">
        <v>1300.2</v>
      </c>
      <c r="G206" s="97">
        <v>1269</v>
      </c>
      <c r="H206" s="98">
        <f t="shared" si="756"/>
        <v>1269</v>
      </c>
      <c r="I206" s="97">
        <v>1694.1</v>
      </c>
      <c r="J206" s="97">
        <v>1436.3</v>
      </c>
      <c r="K206" s="97">
        <v>1463.3</v>
      </c>
      <c r="L206" s="70">
        <f>K206*0.99</f>
        <v>1448.6669999999999</v>
      </c>
      <c r="M206" s="98">
        <f t="shared" ref="M206:M213" si="778">L206</f>
        <v>1448.6669999999999</v>
      </c>
      <c r="N206" s="70">
        <f>L206*1.3</f>
        <v>1883.2671</v>
      </c>
      <c r="O206" s="70">
        <f>N206*0.85</f>
        <v>1600.7770350000001</v>
      </c>
      <c r="P206" s="70">
        <f>O206*0.99</f>
        <v>1584.76926465</v>
      </c>
      <c r="Q206" s="70">
        <f>P206*0.99</f>
        <v>1568.9215720034999</v>
      </c>
      <c r="R206" s="98">
        <f t="shared" si="758"/>
        <v>1568.9215720034999</v>
      </c>
      <c r="S206" s="70">
        <f>Q206*1.3</f>
        <v>2039.59804360455</v>
      </c>
      <c r="T206" s="70">
        <f>S206*0.85</f>
        <v>1733.6583370638675</v>
      </c>
      <c r="U206" s="70">
        <f>T206*0.99</f>
        <v>1716.3217536932289</v>
      </c>
      <c r="V206" s="70">
        <f>U206*0.99</f>
        <v>1699.1585361562966</v>
      </c>
      <c r="W206" s="98">
        <f t="shared" si="760"/>
        <v>1699.1585361562966</v>
      </c>
      <c r="X206" s="70">
        <f>V206*1.3</f>
        <v>2208.9060970031856</v>
      </c>
      <c r="Y206" s="70">
        <f>X206*0.85</f>
        <v>1877.5701824527077</v>
      </c>
      <c r="Z206" s="70">
        <f>Y206*0.99</f>
        <v>1858.7944806281807</v>
      </c>
      <c r="AA206" s="70">
        <f>Z206*0.99</f>
        <v>1840.206535821899</v>
      </c>
      <c r="AB206" s="98">
        <f t="shared" si="762"/>
        <v>1840.206535821899</v>
      </c>
      <c r="AC206" s="70">
        <f>AA206*1.3</f>
        <v>2392.2684965684689</v>
      </c>
      <c r="AD206" s="70">
        <f>AC206*0.85</f>
        <v>2033.4282220831985</v>
      </c>
      <c r="AE206" s="70">
        <f>AD206*0.99</f>
        <v>2013.0939398623666</v>
      </c>
      <c r="AF206" s="70">
        <f>AE206*0.99</f>
        <v>1992.9630004637429</v>
      </c>
      <c r="AG206" s="98">
        <f t="shared" si="764"/>
        <v>1992.9630004637429</v>
      </c>
      <c r="AH206" s="70">
        <f>AF206*1.3</f>
        <v>2590.851900602866</v>
      </c>
      <c r="AI206" s="70">
        <f>AH206*0.85</f>
        <v>2202.2241155124361</v>
      </c>
      <c r="AJ206" s="70">
        <f>AI206*0.99</f>
        <v>2180.2018743573117</v>
      </c>
      <c r="AK206" s="70">
        <f>AJ206*0.99</f>
        <v>2158.3998556137385</v>
      </c>
      <c r="AL206" s="98">
        <f t="shared" si="766"/>
        <v>2158.3998556137385</v>
      </c>
    </row>
    <row r="207" spans="1:38" outlineLevel="1" x14ac:dyDescent="0.25">
      <c r="A207" s="449"/>
      <c r="B207" s="426" t="s">
        <v>316</v>
      </c>
      <c r="C207" s="447"/>
      <c r="D207" s="97">
        <v>0</v>
      </c>
      <c r="E207" s="97">
        <f>75+0</f>
        <v>75</v>
      </c>
      <c r="F207" s="97">
        <v>0</v>
      </c>
      <c r="G207" s="97">
        <v>0</v>
      </c>
      <c r="H207" s="98">
        <f t="shared" si="756"/>
        <v>0</v>
      </c>
      <c r="I207" s="97">
        <f>497.9+498.7</f>
        <v>996.59999999999991</v>
      </c>
      <c r="J207" s="97">
        <f>1107.1+1249.4</f>
        <v>2356.5</v>
      </c>
      <c r="K207" s="97">
        <f>936.5+1249.6</f>
        <v>2186.1</v>
      </c>
      <c r="L207" s="70">
        <f>K207-437</f>
        <v>1749.1</v>
      </c>
      <c r="M207" s="98">
        <f t="shared" si="778"/>
        <v>1749.1</v>
      </c>
      <c r="N207" s="70">
        <f>L207-437</f>
        <v>1312.1</v>
      </c>
      <c r="O207" s="70">
        <f>N207-437</f>
        <v>875.09999999999991</v>
      </c>
      <c r="P207" s="70">
        <f>O207-437</f>
        <v>438.09999999999991</v>
      </c>
      <c r="Q207" s="70">
        <v>1000</v>
      </c>
      <c r="R207" s="98">
        <f t="shared" si="758"/>
        <v>1000</v>
      </c>
      <c r="S207" s="70">
        <v>750</v>
      </c>
      <c r="T207" s="70">
        <v>500</v>
      </c>
      <c r="U207" s="70">
        <v>250</v>
      </c>
      <c r="V207" s="70">
        <v>1000</v>
      </c>
      <c r="W207" s="98">
        <f t="shared" si="760"/>
        <v>1000</v>
      </c>
      <c r="X207" s="70">
        <v>750</v>
      </c>
      <c r="Y207" s="70">
        <v>500</v>
      </c>
      <c r="Z207" s="70">
        <v>250</v>
      </c>
      <c r="AA207" s="70">
        <v>1543</v>
      </c>
      <c r="AB207" s="98">
        <f t="shared" si="762"/>
        <v>1543</v>
      </c>
      <c r="AC207" s="70">
        <f>1543-385.75</f>
        <v>1157.25</v>
      </c>
      <c r="AD207" s="70">
        <f>AC207-385.75</f>
        <v>771.5</v>
      </c>
      <c r="AE207" s="70">
        <f>AD207-385.75</f>
        <v>385.75</v>
      </c>
      <c r="AF207" s="70">
        <v>3000</v>
      </c>
      <c r="AG207" s="98">
        <f t="shared" si="764"/>
        <v>3000</v>
      </c>
      <c r="AH207" s="70">
        <f>AF207-750</f>
        <v>2250</v>
      </c>
      <c r="AI207" s="70">
        <f>AH207-750</f>
        <v>1500</v>
      </c>
      <c r="AJ207" s="70">
        <f>AI207-750</f>
        <v>750</v>
      </c>
      <c r="AK207" s="70">
        <v>2000</v>
      </c>
      <c r="AL207" s="98">
        <f t="shared" si="766"/>
        <v>2000</v>
      </c>
    </row>
    <row r="208" spans="1:38" ht="17.25" outlineLevel="1" x14ac:dyDescent="0.4">
      <c r="A208" s="449"/>
      <c r="B208" s="426" t="s">
        <v>309</v>
      </c>
      <c r="C208" s="447"/>
      <c r="D208" s="274">
        <v>208.8</v>
      </c>
      <c r="E208" s="274">
        <v>221</v>
      </c>
      <c r="F208" s="274">
        <v>211.5</v>
      </c>
      <c r="G208" s="274">
        <v>0</v>
      </c>
      <c r="H208" s="267">
        <f t="shared" si="756"/>
        <v>0</v>
      </c>
      <c r="I208" s="274">
        <v>0</v>
      </c>
      <c r="J208" s="274">
        <v>0</v>
      </c>
      <c r="K208" s="274">
        <v>0</v>
      </c>
      <c r="L208" s="68">
        <v>0</v>
      </c>
      <c r="M208" s="267">
        <f t="shared" si="778"/>
        <v>0</v>
      </c>
      <c r="N208" s="68">
        <v>0</v>
      </c>
      <c r="O208" s="68">
        <v>0</v>
      </c>
      <c r="P208" s="68">
        <v>0</v>
      </c>
      <c r="Q208" s="68">
        <v>0</v>
      </c>
      <c r="R208" s="267">
        <f t="shared" si="758"/>
        <v>0</v>
      </c>
      <c r="S208" s="68">
        <v>0</v>
      </c>
      <c r="T208" s="68">
        <v>0</v>
      </c>
      <c r="U208" s="68">
        <v>0</v>
      </c>
      <c r="V208" s="68">
        <v>0</v>
      </c>
      <c r="W208" s="267">
        <f t="shared" si="760"/>
        <v>0</v>
      </c>
      <c r="X208" s="68">
        <v>0</v>
      </c>
      <c r="Y208" s="68">
        <v>0</v>
      </c>
      <c r="Z208" s="68">
        <v>0</v>
      </c>
      <c r="AA208" s="68">
        <v>0</v>
      </c>
      <c r="AB208" s="267">
        <f t="shared" si="762"/>
        <v>0</v>
      </c>
      <c r="AC208" s="68">
        <v>0</v>
      </c>
      <c r="AD208" s="68">
        <v>0</v>
      </c>
      <c r="AE208" s="68">
        <v>0</v>
      </c>
      <c r="AF208" s="68">
        <v>0</v>
      </c>
      <c r="AG208" s="267">
        <f t="shared" si="764"/>
        <v>0</v>
      </c>
      <c r="AH208" s="68">
        <v>0</v>
      </c>
      <c r="AI208" s="68">
        <v>0</v>
      </c>
      <c r="AJ208" s="68">
        <v>0</v>
      </c>
      <c r="AK208" s="68">
        <v>0</v>
      </c>
      <c r="AL208" s="267">
        <f t="shared" si="766"/>
        <v>0</v>
      </c>
    </row>
    <row r="209" spans="1:38" outlineLevel="1" x14ac:dyDescent="0.25">
      <c r="A209" s="449"/>
      <c r="B209" s="448" t="s">
        <v>8</v>
      </c>
      <c r="C209" s="447"/>
      <c r="D209" s="96">
        <f t="shared" ref="D209:K209" si="779">SUM(D201:D208)</f>
        <v>5427.5</v>
      </c>
      <c r="E209" s="96">
        <f t="shared" si="779"/>
        <v>5273.4</v>
      </c>
      <c r="F209" s="96">
        <f t="shared" si="779"/>
        <v>5895.8</v>
      </c>
      <c r="G209" s="96">
        <f t="shared" si="779"/>
        <v>6168.7</v>
      </c>
      <c r="H209" s="268">
        <f t="shared" si="779"/>
        <v>6168.7</v>
      </c>
      <c r="I209" s="96">
        <f t="shared" si="779"/>
        <v>8675.5</v>
      </c>
      <c r="J209" s="96">
        <f t="shared" si="779"/>
        <v>8265.7999999999993</v>
      </c>
      <c r="K209" s="96">
        <f t="shared" si="779"/>
        <v>8002</v>
      </c>
      <c r="L209" s="96">
        <f t="shared" ref="L209:Q209" si="780">SUM(L201:L207)</f>
        <v>7750.333769241126</v>
      </c>
      <c r="M209" s="268">
        <f t="shared" si="780"/>
        <v>7750.333769241126</v>
      </c>
      <c r="N209" s="96">
        <f t="shared" si="780"/>
        <v>7764.5392205763728</v>
      </c>
      <c r="O209" s="96">
        <f t="shared" si="780"/>
        <v>6833.7924517092815</v>
      </c>
      <c r="P209" s="96">
        <f t="shared" si="780"/>
        <v>6153.5015093792408</v>
      </c>
      <c r="Q209" s="96">
        <f t="shared" si="780"/>
        <v>6948.114913062961</v>
      </c>
      <c r="R209" s="268">
        <f t="shared" ref="R209:V209" si="781">SUM(R201:R207)</f>
        <v>6948.114913062961</v>
      </c>
      <c r="S209" s="96">
        <f t="shared" si="781"/>
        <v>7299.003780083156</v>
      </c>
      <c r="T209" s="96">
        <f t="shared" si="781"/>
        <v>6575.3469276543983</v>
      </c>
      <c r="U209" s="96">
        <f t="shared" si="781"/>
        <v>6275.7525053207673</v>
      </c>
      <c r="V209" s="96">
        <f t="shared" si="781"/>
        <v>7201.8654375858996</v>
      </c>
      <c r="W209" s="268">
        <f t="shared" ref="W209:AA209" si="782">SUM(W201:W207)</f>
        <v>7201.8654375858996</v>
      </c>
      <c r="X209" s="96">
        <f t="shared" si="782"/>
        <v>7596.2002755255889</v>
      </c>
      <c r="Y209" s="96">
        <f t="shared" si="782"/>
        <v>6770.6136359794882</v>
      </c>
      <c r="Z209" s="96">
        <f t="shared" si="782"/>
        <v>6470.6698854565984</v>
      </c>
      <c r="AA209" s="96">
        <f t="shared" si="782"/>
        <v>7952.4072486347168</v>
      </c>
      <c r="AB209" s="268">
        <f t="shared" ref="AB209:AF209" si="783">SUM(AB201:AB207)</f>
        <v>7952.4072486347168</v>
      </c>
      <c r="AC209" s="96">
        <f t="shared" si="783"/>
        <v>8259.1870853770379</v>
      </c>
      <c r="AD209" s="96">
        <f t="shared" si="783"/>
        <v>7264.2862396289238</v>
      </c>
      <c r="AE209" s="96">
        <f t="shared" si="783"/>
        <v>6827.4246209759804</v>
      </c>
      <c r="AF209" s="96">
        <f t="shared" si="783"/>
        <v>9647.3649092016785</v>
      </c>
      <c r="AG209" s="268">
        <f t="shared" ref="AG209:AK209" si="784">SUM(AG201:AG207)</f>
        <v>9647.3649092016785</v>
      </c>
      <c r="AH209" s="96">
        <f t="shared" si="784"/>
        <v>9639.4951169712222</v>
      </c>
      <c r="AI209" s="96">
        <f t="shared" si="784"/>
        <v>8235.6061309652396</v>
      </c>
      <c r="AJ209" s="96">
        <f t="shared" si="784"/>
        <v>7451.592490009758</v>
      </c>
      <c r="AK209" s="96">
        <f t="shared" si="784"/>
        <v>8906.8501435025864</v>
      </c>
      <c r="AL209" s="268">
        <f t="shared" ref="AL209" si="785">SUM(AL201:AL207)</f>
        <v>8906.8501435025864</v>
      </c>
    </row>
    <row r="210" spans="1:38" outlineLevel="1" x14ac:dyDescent="0.25">
      <c r="A210" s="449"/>
      <c r="B210" s="426" t="s">
        <v>229</v>
      </c>
      <c r="C210" s="447"/>
      <c r="D210" s="97">
        <v>9130.7000000000007</v>
      </c>
      <c r="E210" s="97">
        <v>9141.5</v>
      </c>
      <c r="F210" s="97">
        <v>11159.1</v>
      </c>
      <c r="G210" s="97">
        <v>11167</v>
      </c>
      <c r="H210" s="98">
        <f t="shared" si="756"/>
        <v>11167</v>
      </c>
      <c r="I210" s="97">
        <v>10653.2</v>
      </c>
      <c r="J210" s="97">
        <v>11658.7</v>
      </c>
      <c r="K210" s="97">
        <v>14645.6</v>
      </c>
      <c r="L210" s="70">
        <f>K210</f>
        <v>14645.6</v>
      </c>
      <c r="M210" s="98">
        <f t="shared" si="778"/>
        <v>14645.6</v>
      </c>
      <c r="N210" s="70">
        <f>L210</f>
        <v>14645.6</v>
      </c>
      <c r="O210" s="70">
        <f>N210</f>
        <v>14645.6</v>
      </c>
      <c r="P210" s="70">
        <f>O210</f>
        <v>14645.6</v>
      </c>
      <c r="Q210" s="70">
        <f>P210-1000</f>
        <v>13645.6</v>
      </c>
      <c r="R210" s="98">
        <f t="shared" si="758"/>
        <v>13645.6</v>
      </c>
      <c r="S210" s="70">
        <f>Q210</f>
        <v>13645.6</v>
      </c>
      <c r="T210" s="70">
        <f>S210</f>
        <v>13645.6</v>
      </c>
      <c r="U210" s="70">
        <f t="shared" ref="U210" si="786">T210</f>
        <v>13645.6</v>
      </c>
      <c r="V210" s="70">
        <f>U210-1000</f>
        <v>12645.6</v>
      </c>
      <c r="W210" s="98">
        <f t="shared" si="760"/>
        <v>12645.6</v>
      </c>
      <c r="X210" s="70">
        <f>V210</f>
        <v>12645.6</v>
      </c>
      <c r="Y210" s="70">
        <f>X210</f>
        <v>12645.6</v>
      </c>
      <c r="Z210" s="70">
        <f t="shared" ref="Z210" si="787">Y210</f>
        <v>12645.6</v>
      </c>
      <c r="AA210" s="70">
        <f>Z210-1543</f>
        <v>11102.6</v>
      </c>
      <c r="AB210" s="98">
        <f t="shared" si="762"/>
        <v>11102.6</v>
      </c>
      <c r="AC210" s="70">
        <f>AA210</f>
        <v>11102.6</v>
      </c>
      <c r="AD210" s="70">
        <f>AC210</f>
        <v>11102.6</v>
      </c>
      <c r="AE210" s="70">
        <f t="shared" ref="AE210" si="788">AD210</f>
        <v>11102.6</v>
      </c>
      <c r="AF210" s="70">
        <f>AE210-3000</f>
        <v>8102.6</v>
      </c>
      <c r="AG210" s="98">
        <f t="shared" si="764"/>
        <v>8102.6</v>
      </c>
      <c r="AH210" s="70">
        <f>AF210</f>
        <v>8102.6</v>
      </c>
      <c r="AI210" s="70">
        <f>AH210</f>
        <v>8102.6</v>
      </c>
      <c r="AJ210" s="70">
        <f t="shared" ref="AJ210" si="789">AI210</f>
        <v>8102.6</v>
      </c>
      <c r="AK210" s="70">
        <f>AJ210-2000</f>
        <v>6102.6</v>
      </c>
      <c r="AL210" s="98">
        <f t="shared" si="766"/>
        <v>6102.6</v>
      </c>
    </row>
    <row r="211" spans="1:38" outlineLevel="1" x14ac:dyDescent="0.25">
      <c r="A211" s="449"/>
      <c r="B211" s="339" t="s">
        <v>317</v>
      </c>
      <c r="C211" s="255"/>
      <c r="D211" s="97">
        <v>0</v>
      </c>
      <c r="E211" s="97">
        <v>0</v>
      </c>
      <c r="F211" s="97">
        <v>0</v>
      </c>
      <c r="G211" s="97">
        <v>0</v>
      </c>
      <c r="H211" s="98">
        <f t="shared" si="756"/>
        <v>0</v>
      </c>
      <c r="I211" s="97">
        <v>7711.7</v>
      </c>
      <c r="J211" s="97">
        <v>7650.4</v>
      </c>
      <c r="K211" s="97">
        <v>7653.6</v>
      </c>
      <c r="L211" s="70">
        <f>K211*0.99</f>
        <v>7577.0640000000003</v>
      </c>
      <c r="M211" s="98">
        <f>L211</f>
        <v>7577.0640000000003</v>
      </c>
      <c r="N211" s="70">
        <f>L211*0.99</f>
        <v>7501.2933600000006</v>
      </c>
      <c r="O211" s="70">
        <f>N211*0.99</f>
        <v>7426.2804264000006</v>
      </c>
      <c r="P211" s="70">
        <f>O211*0.99</f>
        <v>7352.0176221360007</v>
      </c>
      <c r="Q211" s="70">
        <f>P211*0.99</f>
        <v>7278.4974459146406</v>
      </c>
      <c r="R211" s="98">
        <f>Q211</f>
        <v>7278.4974459146406</v>
      </c>
      <c r="S211" s="70">
        <f>Q211*0.99</f>
        <v>7205.7124714554939</v>
      </c>
      <c r="T211" s="70">
        <f>S211*0.99</f>
        <v>7133.6553467409385</v>
      </c>
      <c r="U211" s="70">
        <f>T211*0.99</f>
        <v>7062.3187932735291</v>
      </c>
      <c r="V211" s="70">
        <f>U211*0.99</f>
        <v>6991.6956053407939</v>
      </c>
      <c r="W211" s="98">
        <f>V211</f>
        <v>6991.6956053407939</v>
      </c>
      <c r="X211" s="70">
        <f>V211*0.99</f>
        <v>6921.7786492873856</v>
      </c>
      <c r="Y211" s="70">
        <f>X211*0.99</f>
        <v>6852.5608627945121</v>
      </c>
      <c r="Z211" s="70">
        <f>Y211*0.99</f>
        <v>6784.035254166567</v>
      </c>
      <c r="AA211" s="70">
        <f>Z211*0.99</f>
        <v>6716.1949016249009</v>
      </c>
      <c r="AB211" s="98">
        <f>AA211</f>
        <v>6716.1949016249009</v>
      </c>
      <c r="AC211" s="70">
        <f>AA211*0.99</f>
        <v>6649.0329526086516</v>
      </c>
      <c r="AD211" s="70">
        <f>AC211*0.99</f>
        <v>6582.5426230825651</v>
      </c>
      <c r="AE211" s="70">
        <f>AD211*0.99</f>
        <v>6516.7171968517396</v>
      </c>
      <c r="AF211" s="70">
        <f>AE211*0.99</f>
        <v>6451.5500248832222</v>
      </c>
      <c r="AG211" s="98">
        <f>AF211</f>
        <v>6451.5500248832222</v>
      </c>
      <c r="AH211" s="70">
        <f>AF211*0.99</f>
        <v>6387.0345246343895</v>
      </c>
      <c r="AI211" s="70">
        <f>AH211*0.99</f>
        <v>6323.1641793880453</v>
      </c>
      <c r="AJ211" s="70">
        <f>AI211*0.99</f>
        <v>6259.9325375941644</v>
      </c>
      <c r="AK211" s="70">
        <f>AJ211*0.99</f>
        <v>6197.3332122182228</v>
      </c>
      <c r="AL211" s="98">
        <f t="shared" si="766"/>
        <v>6197.3332122182228</v>
      </c>
    </row>
    <row r="212" spans="1:38" outlineLevel="1" x14ac:dyDescent="0.25">
      <c r="A212" s="449"/>
      <c r="B212" s="57" t="s">
        <v>238</v>
      </c>
      <c r="C212" s="255"/>
      <c r="D212" s="97">
        <v>6823.7</v>
      </c>
      <c r="E212" s="97">
        <v>6761.9</v>
      </c>
      <c r="F212" s="97">
        <v>6717.9</v>
      </c>
      <c r="G212" s="97">
        <v>6744.4</v>
      </c>
      <c r="H212" s="98">
        <f>G212</f>
        <v>6744.4</v>
      </c>
      <c r="I212" s="97">
        <v>6748.8</v>
      </c>
      <c r="J212" s="97">
        <v>6685.5</v>
      </c>
      <c r="K212" s="97">
        <v>6642.6</v>
      </c>
      <c r="L212" s="70">
        <f>K212*0.996</f>
        <v>6616.0296000000008</v>
      </c>
      <c r="M212" s="98">
        <f>L212</f>
        <v>6616.0296000000008</v>
      </c>
      <c r="N212" s="70">
        <f>L212*0.996</f>
        <v>6589.5654816000006</v>
      </c>
      <c r="O212" s="70">
        <f t="shared" ref="O212:Q212" si="790">N212*0.996</f>
        <v>6563.2072196736008</v>
      </c>
      <c r="P212" s="70">
        <f t="shared" si="790"/>
        <v>6536.9543907949064</v>
      </c>
      <c r="Q212" s="70">
        <f t="shared" si="790"/>
        <v>6510.8065732317264</v>
      </c>
      <c r="R212" s="98">
        <f>Q212</f>
        <v>6510.8065732317264</v>
      </c>
      <c r="S212" s="70">
        <f>Q212*0.996</f>
        <v>6484.7633469387993</v>
      </c>
      <c r="T212" s="70">
        <f t="shared" ref="T212:V212" si="791">S212*0.996</f>
        <v>6458.8242935510443</v>
      </c>
      <c r="U212" s="70">
        <f t="shared" si="791"/>
        <v>6432.9889963768401</v>
      </c>
      <c r="V212" s="70">
        <f t="shared" si="791"/>
        <v>6407.2570403913323</v>
      </c>
      <c r="W212" s="98">
        <f>V212</f>
        <v>6407.2570403913323</v>
      </c>
      <c r="X212" s="70">
        <f>V212*0.996</f>
        <v>6381.6280122297667</v>
      </c>
      <c r="Y212" s="70">
        <f t="shared" ref="Y212:AA212" si="792">X212*0.996</f>
        <v>6356.1015001808473</v>
      </c>
      <c r="Z212" s="70">
        <f t="shared" si="792"/>
        <v>6330.6770941801242</v>
      </c>
      <c r="AA212" s="70">
        <f t="shared" si="792"/>
        <v>6305.3543858034036</v>
      </c>
      <c r="AB212" s="98">
        <f>AA212</f>
        <v>6305.3543858034036</v>
      </c>
      <c r="AC212" s="70">
        <f>AA212*0.996</f>
        <v>6280.13296826019</v>
      </c>
      <c r="AD212" s="70">
        <f t="shared" ref="AD212:AF212" si="793">AC212*0.996</f>
        <v>6255.0124363871491</v>
      </c>
      <c r="AE212" s="70">
        <f t="shared" si="793"/>
        <v>6229.9923866416002</v>
      </c>
      <c r="AF212" s="70">
        <f t="shared" si="793"/>
        <v>6205.0724170950334</v>
      </c>
      <c r="AG212" s="98">
        <f>AF212</f>
        <v>6205.0724170950334</v>
      </c>
      <c r="AH212" s="70">
        <f>AF212*0.996</f>
        <v>6180.2521274266528</v>
      </c>
      <c r="AI212" s="70">
        <f t="shared" ref="AI212:AK212" si="794">AH212*0.996</f>
        <v>6155.5311189169461</v>
      </c>
      <c r="AJ212" s="70">
        <f t="shared" si="794"/>
        <v>6130.9089944412781</v>
      </c>
      <c r="AK212" s="70">
        <f t="shared" si="794"/>
        <v>6106.3853584635126</v>
      </c>
      <c r="AL212" s="98">
        <f>AK212</f>
        <v>6106.3853584635126</v>
      </c>
    </row>
    <row r="213" spans="1:38" ht="15.75" customHeight="1" outlineLevel="1" x14ac:dyDescent="0.4">
      <c r="A213" s="449"/>
      <c r="B213" s="514" t="s">
        <v>230</v>
      </c>
      <c r="C213" s="515"/>
      <c r="D213" s="274">
        <v>1478.2</v>
      </c>
      <c r="E213" s="274">
        <v>1500.3</v>
      </c>
      <c r="F213" s="274">
        <v>1440.6</v>
      </c>
      <c r="G213" s="274">
        <v>1370.5</v>
      </c>
      <c r="H213" s="267">
        <f t="shared" si="756"/>
        <v>1370.5</v>
      </c>
      <c r="I213" s="274">
        <v>701.2</v>
      </c>
      <c r="J213" s="274">
        <v>751.4</v>
      </c>
      <c r="K213" s="274">
        <v>821.1</v>
      </c>
      <c r="L213" s="68">
        <f t="shared" ref="L213" si="795">K213*1.015</f>
        <v>833.41649999999993</v>
      </c>
      <c r="M213" s="267">
        <f t="shared" si="778"/>
        <v>833.41649999999993</v>
      </c>
      <c r="N213" s="68">
        <f>L213*1.015</f>
        <v>845.91774749999979</v>
      </c>
      <c r="O213" s="68">
        <f t="shared" ref="O213:Q213" si="796">N213*1.015</f>
        <v>858.60651371249969</v>
      </c>
      <c r="P213" s="68">
        <f t="shared" si="796"/>
        <v>871.48561141818709</v>
      </c>
      <c r="Q213" s="68">
        <f t="shared" si="796"/>
        <v>884.5578955894598</v>
      </c>
      <c r="R213" s="267">
        <f t="shared" si="758"/>
        <v>884.5578955894598</v>
      </c>
      <c r="S213" s="68">
        <f>Q213*1.015</f>
        <v>897.82626402330163</v>
      </c>
      <c r="T213" s="68">
        <f t="shared" ref="T213:V213" si="797">S213*1.015</f>
        <v>911.29365798365109</v>
      </c>
      <c r="U213" s="68">
        <f t="shared" si="797"/>
        <v>924.96306285340575</v>
      </c>
      <c r="V213" s="68">
        <f t="shared" si="797"/>
        <v>938.83750879620675</v>
      </c>
      <c r="W213" s="267">
        <f t="shared" si="760"/>
        <v>938.83750879620675</v>
      </c>
      <c r="X213" s="68">
        <f>V213*1.015</f>
        <v>952.92007142814975</v>
      </c>
      <c r="Y213" s="68">
        <f t="shared" ref="Y213:AA213" si="798">X213*1.015</f>
        <v>967.21387249957195</v>
      </c>
      <c r="Z213" s="68">
        <f t="shared" si="798"/>
        <v>981.72208058706542</v>
      </c>
      <c r="AA213" s="68">
        <f t="shared" si="798"/>
        <v>996.44791179587128</v>
      </c>
      <c r="AB213" s="267">
        <f t="shared" si="762"/>
        <v>996.44791179587128</v>
      </c>
      <c r="AC213" s="68">
        <f>AA213*1.015</f>
        <v>1011.3946304728092</v>
      </c>
      <c r="AD213" s="68">
        <f t="shared" ref="AD213" si="799">AC213*1.015</f>
        <v>1026.5655499299012</v>
      </c>
      <c r="AE213" s="68">
        <f t="shared" ref="AE213" si="800">AD213*1.015</f>
        <v>1041.9640331788496</v>
      </c>
      <c r="AF213" s="68">
        <f t="shared" ref="AF213" si="801">AE213*1.015</f>
        <v>1057.5934936765323</v>
      </c>
      <c r="AG213" s="267">
        <f t="shared" si="764"/>
        <v>1057.5934936765323</v>
      </c>
      <c r="AH213" s="68">
        <f>AF213*1.015</f>
        <v>1073.4573960816801</v>
      </c>
      <c r="AI213" s="68">
        <f t="shared" ref="AI213" si="802">AH213*1.015</f>
        <v>1089.5592570229053</v>
      </c>
      <c r="AJ213" s="68">
        <f t="shared" ref="AJ213" si="803">AI213*1.015</f>
        <v>1105.9026458782487</v>
      </c>
      <c r="AK213" s="68">
        <f t="shared" ref="AK213" si="804">AJ213*1.015</f>
        <v>1122.4911855664222</v>
      </c>
      <c r="AL213" s="267">
        <f t="shared" si="766"/>
        <v>1122.4911855664222</v>
      </c>
    </row>
    <row r="214" spans="1:38" outlineLevel="1" x14ac:dyDescent="0.25">
      <c r="A214" s="449"/>
      <c r="B214" s="569" t="s">
        <v>9</v>
      </c>
      <c r="C214" s="570"/>
      <c r="D214" s="96">
        <f t="shared" ref="D214" si="805">SUM(D209:D213)</f>
        <v>22860.100000000002</v>
      </c>
      <c r="E214" s="96">
        <f>SUM(E209:E213)</f>
        <v>22677.1</v>
      </c>
      <c r="F214" s="96">
        <f>SUM(F209:F213)</f>
        <v>25213.4</v>
      </c>
      <c r="G214" s="96">
        <f>SUM(G209:G213)</f>
        <v>25450.6</v>
      </c>
      <c r="H214" s="268">
        <f t="shared" ref="H214" si="806">SUM(H209:H213)</f>
        <v>25450.6</v>
      </c>
      <c r="I214" s="96">
        <f>SUM(I209:I213)</f>
        <v>34490.400000000001</v>
      </c>
      <c r="J214" s="96">
        <f>SUM(J209:J213)</f>
        <v>35011.800000000003</v>
      </c>
      <c r="K214" s="96">
        <f>SUM(K209:K213)</f>
        <v>37764.899999999994</v>
      </c>
      <c r="L214" s="96">
        <f>SUM(L209:L213)</f>
        <v>37422.443869241128</v>
      </c>
      <c r="M214" s="268">
        <f t="shared" ref="M214" si="807">SUM(M209:M213)</f>
        <v>37422.443869241128</v>
      </c>
      <c r="N214" s="96">
        <f>SUM(N209:N213)</f>
        <v>37346.915809676379</v>
      </c>
      <c r="O214" s="96">
        <f>SUM(O209:O213)</f>
        <v>36327.486611495377</v>
      </c>
      <c r="P214" s="96">
        <f>SUM(P209:P213)</f>
        <v>35559.55913372834</v>
      </c>
      <c r="Q214" s="96">
        <f>SUM(Q209:Q213)</f>
        <v>35267.576827798788</v>
      </c>
      <c r="R214" s="268">
        <f t="shared" ref="R214" si="808">SUM(R209:R213)</f>
        <v>35267.576827798788</v>
      </c>
      <c r="S214" s="96">
        <f>SUM(S209:S213)</f>
        <v>35532.905862500753</v>
      </c>
      <c r="T214" s="96">
        <f>SUM(T209:T213)</f>
        <v>34724.720225930032</v>
      </c>
      <c r="U214" s="96">
        <f>SUM(U209:U213)</f>
        <v>34341.623357824545</v>
      </c>
      <c r="V214" s="96">
        <f>SUM(V209:V213)</f>
        <v>34185.255592114234</v>
      </c>
      <c r="W214" s="268">
        <f t="shared" ref="W214" si="809">SUM(W209:W213)</f>
        <v>34185.255592114234</v>
      </c>
      <c r="X214" s="96">
        <f>SUM(X209:X213)</f>
        <v>34498.127008470889</v>
      </c>
      <c r="Y214" s="96">
        <f>SUM(Y209:Y213)</f>
        <v>33592.089871454424</v>
      </c>
      <c r="Z214" s="96">
        <f>SUM(Z209:Z213)</f>
        <v>33212.704314390357</v>
      </c>
      <c r="AA214" s="96">
        <f>SUM(AA209:AA213)</f>
        <v>33073.00444785889</v>
      </c>
      <c r="AB214" s="268">
        <f t="shared" ref="AB214" si="810">SUM(AB209:AB213)</f>
        <v>33073.00444785889</v>
      </c>
      <c r="AC214" s="96">
        <f>SUM(AC209:AC213)</f>
        <v>33302.347636718689</v>
      </c>
      <c r="AD214" s="96">
        <f>SUM(AD209:AD213)</f>
        <v>32231.006849028541</v>
      </c>
      <c r="AE214" s="96">
        <f>SUM(AE209:AE213)</f>
        <v>31718.698237648168</v>
      </c>
      <c r="AF214" s="96">
        <f>SUM(AF209:AF213)</f>
        <v>31464.180844856466</v>
      </c>
      <c r="AG214" s="268">
        <f t="shared" ref="AG214" si="811">SUM(AG209:AG213)</f>
        <v>31464.180844856466</v>
      </c>
      <c r="AH214" s="96">
        <f>SUM(AH209:AH213)</f>
        <v>31382.839165113943</v>
      </c>
      <c r="AI214" s="96">
        <f>SUM(AI209:AI213)</f>
        <v>29906.46068629314</v>
      </c>
      <c r="AJ214" s="96">
        <f>SUM(AJ209:AJ213)</f>
        <v>29050.936667923448</v>
      </c>
      <c r="AK214" s="96">
        <f>SUM(AK209:AK213)</f>
        <v>28435.659899750743</v>
      </c>
      <c r="AL214" s="268">
        <f t="shared" ref="AL214" si="812">SUM(AL209:AL213)</f>
        <v>28435.659899750743</v>
      </c>
    </row>
    <row r="215" spans="1:38" ht="18" x14ac:dyDescent="0.4">
      <c r="A215" s="293"/>
      <c r="B215" s="512" t="s">
        <v>81</v>
      </c>
      <c r="C215" s="513"/>
      <c r="D215" s="35" t="s">
        <v>123</v>
      </c>
      <c r="E215" s="35" t="s">
        <v>281</v>
      </c>
      <c r="F215" s="35" t="s">
        <v>285</v>
      </c>
      <c r="G215" s="35" t="s">
        <v>295</v>
      </c>
      <c r="H215" s="102" t="s">
        <v>296</v>
      </c>
      <c r="I215" s="35" t="s">
        <v>297</v>
      </c>
      <c r="J215" s="35" t="s">
        <v>298</v>
      </c>
      <c r="K215" s="35" t="s">
        <v>299</v>
      </c>
      <c r="L215" s="269" t="s">
        <v>141</v>
      </c>
      <c r="M215" s="270" t="s">
        <v>142</v>
      </c>
      <c r="N215" s="269" t="s">
        <v>143</v>
      </c>
      <c r="O215" s="269" t="s">
        <v>144</v>
      </c>
      <c r="P215" s="269" t="s">
        <v>145</v>
      </c>
      <c r="Q215" s="269" t="s">
        <v>146</v>
      </c>
      <c r="R215" s="270" t="s">
        <v>147</v>
      </c>
      <c r="S215" s="269" t="s">
        <v>148</v>
      </c>
      <c r="T215" s="269" t="s">
        <v>149</v>
      </c>
      <c r="U215" s="269" t="s">
        <v>150</v>
      </c>
      <c r="V215" s="269" t="s">
        <v>151</v>
      </c>
      <c r="W215" s="270" t="s">
        <v>152</v>
      </c>
      <c r="X215" s="269" t="s">
        <v>153</v>
      </c>
      <c r="Y215" s="269" t="s">
        <v>154</v>
      </c>
      <c r="Z215" s="269" t="s">
        <v>155</v>
      </c>
      <c r="AA215" s="269" t="s">
        <v>156</v>
      </c>
      <c r="AB215" s="270" t="s">
        <v>157</v>
      </c>
      <c r="AC215" s="33" t="s">
        <v>290</v>
      </c>
      <c r="AD215" s="33" t="s">
        <v>291</v>
      </c>
      <c r="AE215" s="33" t="s">
        <v>292</v>
      </c>
      <c r="AF215" s="33" t="s">
        <v>293</v>
      </c>
      <c r="AG215" s="105" t="s">
        <v>294</v>
      </c>
      <c r="AH215" s="33" t="s">
        <v>323</v>
      </c>
      <c r="AI215" s="33" t="s">
        <v>324</v>
      </c>
      <c r="AJ215" s="33" t="s">
        <v>325</v>
      </c>
      <c r="AK215" s="33" t="s">
        <v>326</v>
      </c>
      <c r="AL215" s="105" t="s">
        <v>327</v>
      </c>
    </row>
    <row r="216" spans="1:38" outlineLevel="1" x14ac:dyDescent="0.25">
      <c r="A216" s="293"/>
      <c r="B216" s="510" t="s">
        <v>231</v>
      </c>
      <c r="C216" s="511"/>
      <c r="D216" s="37">
        <f>1.2+41.1</f>
        <v>42.300000000000004</v>
      </c>
      <c r="E216" s="37">
        <f>1.2+41.1</f>
        <v>42.300000000000004</v>
      </c>
      <c r="F216" s="37">
        <f>1.2+41.1</f>
        <v>42.300000000000004</v>
      </c>
      <c r="G216" s="37">
        <f>1.2+41.1</f>
        <v>42.300000000000004</v>
      </c>
      <c r="H216" s="38">
        <f>G216</f>
        <v>42.300000000000004</v>
      </c>
      <c r="I216" s="37">
        <f>1.2+41.1</f>
        <v>42.300000000000004</v>
      </c>
      <c r="J216" s="37">
        <f>1.2+41.1</f>
        <v>42.300000000000004</v>
      </c>
      <c r="K216" s="37">
        <f>1.2+115.4</f>
        <v>116.60000000000001</v>
      </c>
      <c r="L216" s="37">
        <f>+K216+L248+L271</f>
        <v>174.10624152051426</v>
      </c>
      <c r="M216" s="38">
        <f>L216</f>
        <v>174.10624152051426</v>
      </c>
      <c r="N216" s="37">
        <f>+L216+N248+N271</f>
        <v>244.22846193224368</v>
      </c>
      <c r="O216" s="37">
        <f>+N216+O248+O271</f>
        <v>308.78030233499567</v>
      </c>
      <c r="P216" s="37">
        <f t="shared" ref="P216:Q216" si="813">+O216+P248+P271</f>
        <v>375.8747305299421</v>
      </c>
      <c r="Q216" s="37">
        <f t="shared" si="813"/>
        <v>445.92925262371023</v>
      </c>
      <c r="R216" s="38">
        <f>Q216</f>
        <v>445.92925262371023</v>
      </c>
      <c r="S216" s="37">
        <f>+Q216+S248+S271</f>
        <v>522.54069481343652</v>
      </c>
      <c r="T216" s="37">
        <f>+S216+T248+T271</f>
        <v>591.93801543499956</v>
      </c>
      <c r="U216" s="37">
        <f t="shared" ref="U216:V216" si="814">+T216+U248+U271</f>
        <v>663.20137254124518</v>
      </c>
      <c r="V216" s="37">
        <f t="shared" si="814"/>
        <v>737.40964696803155</v>
      </c>
      <c r="W216" s="38">
        <f>V216</f>
        <v>737.40964696803155</v>
      </c>
      <c r="X216" s="37">
        <f>+V216+X248+X271</f>
        <v>818.61826060070985</v>
      </c>
      <c r="Y216" s="37">
        <f>+X216+Y248+Y271</f>
        <v>892.67283742091468</v>
      </c>
      <c r="Z216" s="37">
        <f t="shared" ref="Z216:AA216" si="815">+Y216+Z248+Z271</f>
        <v>968.60609226329677</v>
      </c>
      <c r="AA216" s="37">
        <f t="shared" si="815"/>
        <v>1047.6956207338224</v>
      </c>
      <c r="AB216" s="38">
        <f>AA216</f>
        <v>1047.6956207338224</v>
      </c>
      <c r="AC216" s="37">
        <f>+AA216+AC248+AC271</f>
        <v>1134.2084220090915</v>
      </c>
      <c r="AD216" s="37">
        <f>+AC216+AD248+AD271</f>
        <v>1213.1499745432818</v>
      </c>
      <c r="AE216" s="37">
        <f t="shared" ref="AE216:AF216" si="816">+AD216+AE248+AE271</f>
        <v>1294.1540261727673</v>
      </c>
      <c r="AF216" s="37">
        <f t="shared" si="816"/>
        <v>1378.5611651319571</v>
      </c>
      <c r="AG216" s="38">
        <f>AF216</f>
        <v>1378.5611651319571</v>
      </c>
      <c r="AH216" s="37">
        <f>+AF216+AH248+AH271</f>
        <v>1471.0281300188446</v>
      </c>
      <c r="AI216" s="37">
        <f>+AH216+AI248+AI271</f>
        <v>1555.3599395910694</v>
      </c>
      <c r="AJ216" s="37">
        <f t="shared" ref="AJ216:AK216" si="817">+AI216+AJ248+AJ271</f>
        <v>1641.9954456335915</v>
      </c>
      <c r="AK216" s="37">
        <f t="shared" si="817"/>
        <v>1732.3022427489748</v>
      </c>
      <c r="AL216" s="38">
        <f>AK216</f>
        <v>1732.3022427489748</v>
      </c>
    </row>
    <row r="217" spans="1:38" outlineLevel="1" x14ac:dyDescent="0.25">
      <c r="A217" s="293"/>
      <c r="B217" s="557" t="s">
        <v>39</v>
      </c>
      <c r="C217" s="558"/>
      <c r="D217" s="37">
        <v>-2584</v>
      </c>
      <c r="E217" s="295">
        <v>-4807.7</v>
      </c>
      <c r="F217" s="295">
        <v>-4013.9</v>
      </c>
      <c r="G217" s="295">
        <v>-5771.2</v>
      </c>
      <c r="H217" s="296">
        <f>G217</f>
        <v>-5771.2</v>
      </c>
      <c r="I217" s="295">
        <v>-6414.8</v>
      </c>
      <c r="J217" s="295">
        <v>-7050.6</v>
      </c>
      <c r="K217" s="295">
        <v>-8208.2999999999993</v>
      </c>
      <c r="L217" s="295">
        <f>K217+L242+L269+L270</f>
        <v>-8569.195688649439</v>
      </c>
      <c r="M217" s="296">
        <f>L217</f>
        <v>-8569.195688649439</v>
      </c>
      <c r="N217" s="295">
        <f>L217+N242+N269+N270</f>
        <v>-8460.7537172783414</v>
      </c>
      <c r="O217" s="295">
        <f>N217+O242+O269+O270</f>
        <v>-8333.6663040152744</v>
      </c>
      <c r="P217" s="295">
        <f t="shared" ref="P217:Q217" si="818">O217+P242+P269+P270</f>
        <v>-8192.9680105113621</v>
      </c>
      <c r="Q217" s="295">
        <f t="shared" si="818"/>
        <v>-7968.7082602645614</v>
      </c>
      <c r="R217" s="296">
        <f>Q217</f>
        <v>-7968.7082602645614</v>
      </c>
      <c r="S217" s="295">
        <f>Q217+S242+S269+S270</f>
        <v>-7640.1837488093952</v>
      </c>
      <c r="T217" s="295">
        <f>S217+T242+T269+T270</f>
        <v>-7441.3849507031791</v>
      </c>
      <c r="U217" s="295">
        <f t="shared" ref="U217:V217" si="819">T217+U242+U269+U270</f>
        <v>-7167.4942583474713</v>
      </c>
      <c r="V217" s="295">
        <f t="shared" si="819"/>
        <v>-6854.1843204201086</v>
      </c>
      <c r="W217" s="296">
        <f>V217</f>
        <v>-6854.1843204201086</v>
      </c>
      <c r="X217" s="295">
        <f>V217+X242+X269+X270</f>
        <v>-6397.7314405081133</v>
      </c>
      <c r="Y217" s="295">
        <f>X217+Y242+Y269+Y270</f>
        <v>-6098.3384593928522</v>
      </c>
      <c r="Z217" s="295">
        <f t="shared" ref="Z217:AA217" si="820">Y217+Z242+Z269+Z270</f>
        <v>-5727.3753295669449</v>
      </c>
      <c r="AA217" s="295">
        <f t="shared" si="820"/>
        <v>-5310.0643861405315</v>
      </c>
      <c r="AB217" s="296">
        <f>AA217</f>
        <v>-5310.0643861405315</v>
      </c>
      <c r="AC217" s="295">
        <f>AA217+AC242+AC269+AC270</f>
        <v>-4711.3408888579643</v>
      </c>
      <c r="AD217" s="295">
        <f>AC217+AD242+AD269+AD270</f>
        <v>-4284.2225104236113</v>
      </c>
      <c r="AE217" s="295">
        <f t="shared" ref="AE217:AF217" si="821">AD217+AE242+AE269+AE270</f>
        <v>-3801.3549665030696</v>
      </c>
      <c r="AF217" s="295">
        <f t="shared" si="821"/>
        <v>-3244.0022518694941</v>
      </c>
      <c r="AG217" s="296">
        <f>AF217</f>
        <v>-3244.0022518694941</v>
      </c>
      <c r="AH217" s="295">
        <f>AF217+AH242+AH269+AH270</f>
        <v>-2511.7574702021716</v>
      </c>
      <c r="AI217" s="295">
        <f>AH217+AI242+AI269+AI270</f>
        <v>-1965.0382293256503</v>
      </c>
      <c r="AJ217" s="295">
        <f t="shared" ref="AJ217:AK217" si="822">AI217+AJ242+AJ269+AJ270</f>
        <v>-1355.7975682842139</v>
      </c>
      <c r="AK217" s="295">
        <f t="shared" si="822"/>
        <v>-688.20110142113572</v>
      </c>
      <c r="AL217" s="296">
        <f>AK217</f>
        <v>-688.20110142113572</v>
      </c>
    </row>
    <row r="218" spans="1:38" outlineLevel="1" x14ac:dyDescent="0.25">
      <c r="A218" s="293"/>
      <c r="B218" s="557" t="s">
        <v>118</v>
      </c>
      <c r="C218" s="558"/>
      <c r="D218" s="37">
        <v>-343.2</v>
      </c>
      <c r="E218" s="297">
        <v>-271.5</v>
      </c>
      <c r="F218" s="295">
        <v>-349</v>
      </c>
      <c r="G218" s="295">
        <v>-503.3</v>
      </c>
      <c r="H218" s="296">
        <f>+G218</f>
        <v>-503.3</v>
      </c>
      <c r="I218" s="295">
        <v>-387.4</v>
      </c>
      <c r="J218" s="295">
        <v>-521.79999999999995</v>
      </c>
      <c r="K218" s="295">
        <v>-529.9</v>
      </c>
      <c r="L218" s="295">
        <f>+K218</f>
        <v>-529.9</v>
      </c>
      <c r="M218" s="296">
        <f>+L218</f>
        <v>-529.9</v>
      </c>
      <c r="N218" s="295">
        <f>+L218</f>
        <v>-529.9</v>
      </c>
      <c r="O218" s="295">
        <f>+N218</f>
        <v>-529.9</v>
      </c>
      <c r="P218" s="295">
        <f t="shared" ref="P218:Q218" si="823">+O218</f>
        <v>-529.9</v>
      </c>
      <c r="Q218" s="295">
        <f t="shared" si="823"/>
        <v>-529.9</v>
      </c>
      <c r="R218" s="296">
        <f>+Q218</f>
        <v>-529.9</v>
      </c>
      <c r="S218" s="295">
        <f>+Q218</f>
        <v>-529.9</v>
      </c>
      <c r="T218" s="295">
        <f>+S218</f>
        <v>-529.9</v>
      </c>
      <c r="U218" s="295">
        <f t="shared" ref="U218:V219" si="824">+T218</f>
        <v>-529.9</v>
      </c>
      <c r="V218" s="295">
        <f t="shared" si="824"/>
        <v>-529.9</v>
      </c>
      <c r="W218" s="296">
        <f>+V218</f>
        <v>-529.9</v>
      </c>
      <c r="X218" s="295">
        <f>+V218</f>
        <v>-529.9</v>
      </c>
      <c r="Y218" s="295">
        <f>+X218</f>
        <v>-529.9</v>
      </c>
      <c r="Z218" s="295">
        <f t="shared" ref="Z218:AA219" si="825">+Y218</f>
        <v>-529.9</v>
      </c>
      <c r="AA218" s="295">
        <f t="shared" si="825"/>
        <v>-529.9</v>
      </c>
      <c r="AB218" s="296">
        <f>+AA218</f>
        <v>-529.9</v>
      </c>
      <c r="AC218" s="295">
        <f>+AA218</f>
        <v>-529.9</v>
      </c>
      <c r="AD218" s="295">
        <f>+AC218</f>
        <v>-529.9</v>
      </c>
      <c r="AE218" s="295">
        <f t="shared" ref="AE218:AF219" si="826">+AD218</f>
        <v>-529.9</v>
      </c>
      <c r="AF218" s="295">
        <f t="shared" si="826"/>
        <v>-529.9</v>
      </c>
      <c r="AG218" s="296">
        <f>+AF218</f>
        <v>-529.9</v>
      </c>
      <c r="AH218" s="295">
        <f>+AF218</f>
        <v>-529.9</v>
      </c>
      <c r="AI218" s="295">
        <f>+AH218</f>
        <v>-529.9</v>
      </c>
      <c r="AJ218" s="295">
        <f t="shared" ref="AJ218:AK219" si="827">+AI218</f>
        <v>-529.9</v>
      </c>
      <c r="AK218" s="295">
        <f t="shared" si="827"/>
        <v>-529.9</v>
      </c>
      <c r="AL218" s="296">
        <f>+AK218</f>
        <v>-529.9</v>
      </c>
    </row>
    <row r="219" spans="1:38" ht="17.25" outlineLevel="1" x14ac:dyDescent="0.4">
      <c r="A219" s="293"/>
      <c r="B219" s="180" t="s">
        <v>232</v>
      </c>
      <c r="C219" s="181"/>
      <c r="D219" s="40">
        <v>6.1</v>
      </c>
      <c r="E219" s="310">
        <v>1.7</v>
      </c>
      <c r="F219" s="310">
        <v>1.6</v>
      </c>
      <c r="G219" s="310">
        <v>1.2</v>
      </c>
      <c r="H219" s="41">
        <f>+G219</f>
        <v>1.2</v>
      </c>
      <c r="I219" s="310">
        <v>0.8</v>
      </c>
      <c r="J219" s="310">
        <v>-2.8</v>
      </c>
      <c r="K219" s="310">
        <v>-2.7</v>
      </c>
      <c r="L219" s="310">
        <f t="shared" ref="L219" si="828">+K219</f>
        <v>-2.7</v>
      </c>
      <c r="M219" s="433">
        <f>+L219</f>
        <v>-2.7</v>
      </c>
      <c r="N219" s="310">
        <f>+L219</f>
        <v>-2.7</v>
      </c>
      <c r="O219" s="310">
        <f>+N219</f>
        <v>-2.7</v>
      </c>
      <c r="P219" s="310">
        <f t="shared" ref="P219:Q219" si="829">+O219</f>
        <v>-2.7</v>
      </c>
      <c r="Q219" s="310">
        <f t="shared" si="829"/>
        <v>-2.7</v>
      </c>
      <c r="R219" s="433">
        <f>+Q219</f>
        <v>-2.7</v>
      </c>
      <c r="S219" s="310">
        <f>+Q219</f>
        <v>-2.7</v>
      </c>
      <c r="T219" s="310">
        <f>+S219</f>
        <v>-2.7</v>
      </c>
      <c r="U219" s="310">
        <f t="shared" si="824"/>
        <v>-2.7</v>
      </c>
      <c r="V219" s="310">
        <f t="shared" si="824"/>
        <v>-2.7</v>
      </c>
      <c r="W219" s="433">
        <f>+V219</f>
        <v>-2.7</v>
      </c>
      <c r="X219" s="310">
        <f>+V219</f>
        <v>-2.7</v>
      </c>
      <c r="Y219" s="310">
        <f>+X219</f>
        <v>-2.7</v>
      </c>
      <c r="Z219" s="310">
        <f t="shared" si="825"/>
        <v>-2.7</v>
      </c>
      <c r="AA219" s="310">
        <f t="shared" si="825"/>
        <v>-2.7</v>
      </c>
      <c r="AB219" s="433">
        <f>+AA219</f>
        <v>-2.7</v>
      </c>
      <c r="AC219" s="310">
        <f>+AA219</f>
        <v>-2.7</v>
      </c>
      <c r="AD219" s="310">
        <f>+AC219</f>
        <v>-2.7</v>
      </c>
      <c r="AE219" s="310">
        <f t="shared" si="826"/>
        <v>-2.7</v>
      </c>
      <c r="AF219" s="310">
        <f t="shared" si="826"/>
        <v>-2.7</v>
      </c>
      <c r="AG219" s="433">
        <f>+AF219</f>
        <v>-2.7</v>
      </c>
      <c r="AH219" s="310">
        <f>+AF219</f>
        <v>-2.7</v>
      </c>
      <c r="AI219" s="310">
        <f>+AH219</f>
        <v>-2.7</v>
      </c>
      <c r="AJ219" s="310">
        <f t="shared" si="827"/>
        <v>-2.7</v>
      </c>
      <c r="AK219" s="310">
        <f t="shared" si="827"/>
        <v>-2.7</v>
      </c>
      <c r="AL219" s="433">
        <f>+AK219</f>
        <v>-2.7</v>
      </c>
    </row>
    <row r="220" spans="1:38" outlineLevel="1" x14ac:dyDescent="0.25">
      <c r="A220" s="293"/>
      <c r="B220" s="555" t="s">
        <v>40</v>
      </c>
      <c r="C220" s="556"/>
      <c r="D220" s="44">
        <f t="shared" ref="D220:AB220" si="830">SUM(D216:D219)</f>
        <v>-2878.7999999999997</v>
      </c>
      <c r="E220" s="44">
        <f t="shared" si="830"/>
        <v>-5035.2</v>
      </c>
      <c r="F220" s="44">
        <f t="shared" si="830"/>
        <v>-4319</v>
      </c>
      <c r="G220" s="44">
        <f t="shared" si="830"/>
        <v>-6231</v>
      </c>
      <c r="H220" s="45">
        <f t="shared" si="830"/>
        <v>-6231</v>
      </c>
      <c r="I220" s="44">
        <f t="shared" si="830"/>
        <v>-6759.0999999999995</v>
      </c>
      <c r="J220" s="44">
        <f t="shared" si="830"/>
        <v>-7532.9000000000005</v>
      </c>
      <c r="K220" s="44">
        <f t="shared" si="830"/>
        <v>-8624.2999999999993</v>
      </c>
      <c r="L220" s="44">
        <f t="shared" si="830"/>
        <v>-8927.6894471289252</v>
      </c>
      <c r="M220" s="45">
        <f t="shared" si="830"/>
        <v>-8927.6894471289252</v>
      </c>
      <c r="N220" s="44">
        <f t="shared" si="830"/>
        <v>-8749.1252553460981</v>
      </c>
      <c r="O220" s="44">
        <f t="shared" si="830"/>
        <v>-8557.4860016802795</v>
      </c>
      <c r="P220" s="44">
        <f t="shared" si="830"/>
        <v>-8349.6932799814203</v>
      </c>
      <c r="Q220" s="44">
        <f t="shared" si="830"/>
        <v>-8055.3790076408504</v>
      </c>
      <c r="R220" s="45">
        <f t="shared" si="830"/>
        <v>-8055.3790076408504</v>
      </c>
      <c r="S220" s="44">
        <f t="shared" si="830"/>
        <v>-7650.2430539959578</v>
      </c>
      <c r="T220" s="44">
        <f t="shared" si="830"/>
        <v>-7382.0469352681794</v>
      </c>
      <c r="U220" s="44">
        <f t="shared" si="830"/>
        <v>-7036.8928858062254</v>
      </c>
      <c r="V220" s="44">
        <f t="shared" si="830"/>
        <v>-6649.3746734520764</v>
      </c>
      <c r="W220" s="45">
        <f t="shared" si="830"/>
        <v>-6649.3746734520764</v>
      </c>
      <c r="X220" s="44">
        <f t="shared" si="830"/>
        <v>-6111.7131799074032</v>
      </c>
      <c r="Y220" s="44">
        <f t="shared" si="830"/>
        <v>-5738.2656219719365</v>
      </c>
      <c r="Z220" s="44">
        <f t="shared" si="830"/>
        <v>-5291.3692373036474</v>
      </c>
      <c r="AA220" s="44">
        <f t="shared" si="830"/>
        <v>-4794.9687654067084</v>
      </c>
      <c r="AB220" s="45">
        <f t="shared" si="830"/>
        <v>-4794.9687654067084</v>
      </c>
      <c r="AC220" s="44">
        <f t="shared" ref="AC220:AG220" si="831">SUM(AC216:AC219)</f>
        <v>-4109.7324668488727</v>
      </c>
      <c r="AD220" s="44">
        <f t="shared" si="831"/>
        <v>-3603.6725358803292</v>
      </c>
      <c r="AE220" s="44">
        <f t="shared" si="831"/>
        <v>-3039.8009403303022</v>
      </c>
      <c r="AF220" s="44">
        <f t="shared" si="831"/>
        <v>-2398.0410867375367</v>
      </c>
      <c r="AG220" s="45">
        <f t="shared" si="831"/>
        <v>-2398.0410867375367</v>
      </c>
      <c r="AH220" s="44">
        <f t="shared" ref="AH220:AL220" si="832">SUM(AH216:AH219)</f>
        <v>-1573.3293401833268</v>
      </c>
      <c r="AI220" s="44">
        <f t="shared" si="832"/>
        <v>-942.27828973458088</v>
      </c>
      <c r="AJ220" s="44">
        <f t="shared" si="832"/>
        <v>-246.40212265062229</v>
      </c>
      <c r="AK220" s="44">
        <f t="shared" si="832"/>
        <v>511.50114132783909</v>
      </c>
      <c r="AL220" s="45">
        <f t="shared" si="832"/>
        <v>511.50114132783909</v>
      </c>
    </row>
    <row r="221" spans="1:38" outlineLevel="1" x14ac:dyDescent="0.25">
      <c r="A221" s="293"/>
      <c r="B221" s="508" t="s">
        <v>10</v>
      </c>
      <c r="C221" s="509"/>
      <c r="D221" s="53">
        <f t="shared" ref="D221:AB221" si="833">D220+D214</f>
        <v>19981.300000000003</v>
      </c>
      <c r="E221" s="53">
        <f t="shared" si="833"/>
        <v>17641.899999999998</v>
      </c>
      <c r="F221" s="53">
        <f t="shared" si="833"/>
        <v>20894.400000000001</v>
      </c>
      <c r="G221" s="53">
        <f t="shared" si="833"/>
        <v>19219.599999999999</v>
      </c>
      <c r="H221" s="271">
        <f t="shared" si="833"/>
        <v>19219.599999999999</v>
      </c>
      <c r="I221" s="53">
        <f t="shared" si="833"/>
        <v>27731.300000000003</v>
      </c>
      <c r="J221" s="53">
        <f t="shared" si="833"/>
        <v>27478.9</v>
      </c>
      <c r="K221" s="53">
        <f t="shared" si="833"/>
        <v>29140.599999999995</v>
      </c>
      <c r="L221" s="53">
        <f t="shared" si="833"/>
        <v>28494.754422112201</v>
      </c>
      <c r="M221" s="271">
        <f t="shared" si="833"/>
        <v>28494.754422112201</v>
      </c>
      <c r="N221" s="53">
        <f t="shared" si="833"/>
        <v>28597.79055433028</v>
      </c>
      <c r="O221" s="53">
        <f t="shared" si="833"/>
        <v>27770.000609815099</v>
      </c>
      <c r="P221" s="53">
        <f t="shared" si="833"/>
        <v>27209.86585374692</v>
      </c>
      <c r="Q221" s="53">
        <f t="shared" si="833"/>
        <v>27212.197820157937</v>
      </c>
      <c r="R221" s="271">
        <f t="shared" si="833"/>
        <v>27212.197820157937</v>
      </c>
      <c r="S221" s="53">
        <f t="shared" si="833"/>
        <v>27882.662808504796</v>
      </c>
      <c r="T221" s="53">
        <f t="shared" si="833"/>
        <v>27342.673290661853</v>
      </c>
      <c r="U221" s="53">
        <f t="shared" si="833"/>
        <v>27304.73047201832</v>
      </c>
      <c r="V221" s="53">
        <f t="shared" si="833"/>
        <v>27535.880918662158</v>
      </c>
      <c r="W221" s="271">
        <f t="shared" si="833"/>
        <v>27535.880918662158</v>
      </c>
      <c r="X221" s="53">
        <f t="shared" si="833"/>
        <v>28386.413828563484</v>
      </c>
      <c r="Y221" s="53">
        <f t="shared" si="833"/>
        <v>27853.824249482488</v>
      </c>
      <c r="Z221" s="53">
        <f t="shared" si="833"/>
        <v>27921.335077086711</v>
      </c>
      <c r="AA221" s="53">
        <f t="shared" si="833"/>
        <v>28278.03568245218</v>
      </c>
      <c r="AB221" s="271">
        <f t="shared" si="833"/>
        <v>28278.03568245218</v>
      </c>
      <c r="AC221" s="53">
        <f t="shared" ref="AC221:AG221" si="834">AC220+AC214</f>
        <v>29192.615169869816</v>
      </c>
      <c r="AD221" s="53">
        <f t="shared" si="834"/>
        <v>28627.334313148211</v>
      </c>
      <c r="AE221" s="53">
        <f t="shared" si="834"/>
        <v>28678.897297317868</v>
      </c>
      <c r="AF221" s="53">
        <f t="shared" si="834"/>
        <v>29066.13975811893</v>
      </c>
      <c r="AG221" s="271">
        <f t="shared" si="834"/>
        <v>29066.13975811893</v>
      </c>
      <c r="AH221" s="53">
        <f t="shared" ref="AH221:AL221" si="835">AH220+AH214</f>
        <v>29809.509824930617</v>
      </c>
      <c r="AI221" s="53">
        <f t="shared" si="835"/>
        <v>28964.182396558557</v>
      </c>
      <c r="AJ221" s="53">
        <f t="shared" si="835"/>
        <v>28804.534545272825</v>
      </c>
      <c r="AK221" s="53">
        <f t="shared" si="835"/>
        <v>28947.161041078583</v>
      </c>
      <c r="AL221" s="271">
        <f t="shared" si="835"/>
        <v>28947.161041078583</v>
      </c>
    </row>
    <row r="222" spans="1:38" s="293" customFormat="1" x14ac:dyDescent="0.25">
      <c r="B222" s="484" t="s">
        <v>369</v>
      </c>
      <c r="C222" s="485"/>
      <c r="D222" s="435">
        <f t="shared" ref="D222:AL222" si="836">ROUND((D221-D199),0)</f>
        <v>0</v>
      </c>
      <c r="E222" s="435">
        <f t="shared" si="836"/>
        <v>0</v>
      </c>
      <c r="F222" s="435">
        <f t="shared" si="836"/>
        <v>0</v>
      </c>
      <c r="G222" s="435">
        <f t="shared" si="836"/>
        <v>0</v>
      </c>
      <c r="H222" s="435">
        <f t="shared" si="836"/>
        <v>0</v>
      </c>
      <c r="I222" s="435">
        <f t="shared" si="836"/>
        <v>0</v>
      </c>
      <c r="J222" s="435">
        <f t="shared" si="836"/>
        <v>0</v>
      </c>
      <c r="K222" s="435">
        <f t="shared" si="836"/>
        <v>0</v>
      </c>
      <c r="L222" s="435">
        <f t="shared" si="836"/>
        <v>0</v>
      </c>
      <c r="M222" s="435">
        <f t="shared" si="836"/>
        <v>0</v>
      </c>
      <c r="N222" s="435">
        <f t="shared" si="836"/>
        <v>0</v>
      </c>
      <c r="O222" s="435">
        <f t="shared" si="836"/>
        <v>0</v>
      </c>
      <c r="P222" s="435">
        <f t="shared" si="836"/>
        <v>0</v>
      </c>
      <c r="Q222" s="435">
        <f t="shared" si="836"/>
        <v>0</v>
      </c>
      <c r="R222" s="435">
        <f t="shared" si="836"/>
        <v>0</v>
      </c>
      <c r="S222" s="435">
        <f t="shared" si="836"/>
        <v>0</v>
      </c>
      <c r="T222" s="435">
        <f t="shared" si="836"/>
        <v>0</v>
      </c>
      <c r="U222" s="435">
        <f t="shared" si="836"/>
        <v>0</v>
      </c>
      <c r="V222" s="435">
        <f t="shared" si="836"/>
        <v>0</v>
      </c>
      <c r="W222" s="435">
        <f t="shared" si="836"/>
        <v>0</v>
      </c>
      <c r="X222" s="435">
        <f t="shared" si="836"/>
        <v>0</v>
      </c>
      <c r="Y222" s="435">
        <f t="shared" si="836"/>
        <v>0</v>
      </c>
      <c r="Z222" s="435">
        <f t="shared" si="836"/>
        <v>0</v>
      </c>
      <c r="AA222" s="435">
        <f t="shared" si="836"/>
        <v>0</v>
      </c>
      <c r="AB222" s="435">
        <f t="shared" si="836"/>
        <v>0</v>
      </c>
      <c r="AC222" s="435">
        <f t="shared" si="836"/>
        <v>0</v>
      </c>
      <c r="AD222" s="435">
        <f t="shared" si="836"/>
        <v>0</v>
      </c>
      <c r="AE222" s="435">
        <f t="shared" si="836"/>
        <v>0</v>
      </c>
      <c r="AF222" s="435">
        <f t="shared" si="836"/>
        <v>0</v>
      </c>
      <c r="AG222" s="435">
        <f t="shared" si="836"/>
        <v>0</v>
      </c>
      <c r="AH222" s="435">
        <f t="shared" si="836"/>
        <v>0</v>
      </c>
      <c r="AI222" s="435">
        <f t="shared" si="836"/>
        <v>0</v>
      </c>
      <c r="AJ222" s="435">
        <f t="shared" si="836"/>
        <v>0</v>
      </c>
      <c r="AK222" s="435">
        <f t="shared" si="836"/>
        <v>0</v>
      </c>
      <c r="AL222" s="435">
        <f t="shared" si="836"/>
        <v>0</v>
      </c>
    </row>
    <row r="223" spans="1:38" ht="15.75" x14ac:dyDescent="0.25">
      <c r="A223" s="293"/>
      <c r="B223" s="512" t="s">
        <v>20</v>
      </c>
      <c r="C223" s="513"/>
      <c r="D223" s="34" t="s">
        <v>110</v>
      </c>
      <c r="E223" s="34" t="s">
        <v>282</v>
      </c>
      <c r="F223" s="34" t="s">
        <v>284</v>
      </c>
      <c r="G223" s="34" t="s">
        <v>124</v>
      </c>
      <c r="H223" s="101" t="s">
        <v>124</v>
      </c>
      <c r="I223" s="34" t="s">
        <v>125</v>
      </c>
      <c r="J223" s="34" t="s">
        <v>126</v>
      </c>
      <c r="K223" s="34" t="s">
        <v>127</v>
      </c>
      <c r="L223" s="36" t="s">
        <v>128</v>
      </c>
      <c r="M223" s="104" t="s">
        <v>128</v>
      </c>
      <c r="N223" s="36" t="s">
        <v>129</v>
      </c>
      <c r="O223" s="36" t="s">
        <v>130</v>
      </c>
      <c r="P223" s="36" t="s">
        <v>131</v>
      </c>
      <c r="Q223" s="36" t="s">
        <v>132</v>
      </c>
      <c r="R223" s="104" t="s">
        <v>132</v>
      </c>
      <c r="S223" s="36" t="s">
        <v>133</v>
      </c>
      <c r="T223" s="36" t="s">
        <v>134</v>
      </c>
      <c r="U223" s="36" t="s">
        <v>135</v>
      </c>
      <c r="V223" s="36" t="s">
        <v>136</v>
      </c>
      <c r="W223" s="104" t="s">
        <v>136</v>
      </c>
      <c r="X223" s="36" t="s">
        <v>137</v>
      </c>
      <c r="Y223" s="36" t="s">
        <v>138</v>
      </c>
      <c r="Z223" s="36" t="s">
        <v>139</v>
      </c>
      <c r="AA223" s="36" t="s">
        <v>140</v>
      </c>
      <c r="AB223" s="104" t="s">
        <v>140</v>
      </c>
      <c r="AC223" s="36" t="s">
        <v>286</v>
      </c>
      <c r="AD223" s="36" t="s">
        <v>287</v>
      </c>
      <c r="AE223" s="36" t="s">
        <v>288</v>
      </c>
      <c r="AF223" s="36" t="s">
        <v>289</v>
      </c>
      <c r="AG223" s="104" t="s">
        <v>289</v>
      </c>
      <c r="AH223" s="36" t="s">
        <v>319</v>
      </c>
      <c r="AI223" s="36" t="s">
        <v>320</v>
      </c>
      <c r="AJ223" s="36" t="s">
        <v>321</v>
      </c>
      <c r="AK223" s="36" t="s">
        <v>322</v>
      </c>
      <c r="AL223" s="104" t="s">
        <v>322</v>
      </c>
    </row>
    <row r="224" spans="1:38" ht="17.25" x14ac:dyDescent="0.4">
      <c r="A224" s="293"/>
      <c r="B224" s="506"/>
      <c r="C224" s="507"/>
      <c r="D224" s="35" t="s">
        <v>123</v>
      </c>
      <c r="E224" s="35" t="s">
        <v>281</v>
      </c>
      <c r="F224" s="35" t="s">
        <v>285</v>
      </c>
      <c r="G224" s="35" t="s">
        <v>295</v>
      </c>
      <c r="H224" s="102" t="s">
        <v>296</v>
      </c>
      <c r="I224" s="35" t="s">
        <v>297</v>
      </c>
      <c r="J224" s="35" t="s">
        <v>298</v>
      </c>
      <c r="K224" s="35" t="s">
        <v>299</v>
      </c>
      <c r="L224" s="33" t="s">
        <v>141</v>
      </c>
      <c r="M224" s="105" t="s">
        <v>142</v>
      </c>
      <c r="N224" s="33" t="s">
        <v>143</v>
      </c>
      <c r="O224" s="33" t="s">
        <v>144</v>
      </c>
      <c r="P224" s="33" t="s">
        <v>145</v>
      </c>
      <c r="Q224" s="33" t="s">
        <v>146</v>
      </c>
      <c r="R224" s="105" t="s">
        <v>147</v>
      </c>
      <c r="S224" s="33" t="s">
        <v>148</v>
      </c>
      <c r="T224" s="33" t="s">
        <v>149</v>
      </c>
      <c r="U224" s="33" t="s">
        <v>150</v>
      </c>
      <c r="V224" s="33" t="s">
        <v>151</v>
      </c>
      <c r="W224" s="105" t="s">
        <v>152</v>
      </c>
      <c r="X224" s="33" t="s">
        <v>153</v>
      </c>
      <c r="Y224" s="33" t="s">
        <v>154</v>
      </c>
      <c r="Z224" s="33" t="s">
        <v>155</v>
      </c>
      <c r="AA224" s="33" t="s">
        <v>156</v>
      </c>
      <c r="AB224" s="105" t="s">
        <v>157</v>
      </c>
      <c r="AC224" s="33" t="s">
        <v>290</v>
      </c>
      <c r="AD224" s="33" t="s">
        <v>291</v>
      </c>
      <c r="AE224" s="33" t="s">
        <v>292</v>
      </c>
      <c r="AF224" s="33" t="s">
        <v>293</v>
      </c>
      <c r="AG224" s="105" t="s">
        <v>294</v>
      </c>
      <c r="AH224" s="33" t="s">
        <v>323</v>
      </c>
      <c r="AI224" s="33" t="s">
        <v>324</v>
      </c>
      <c r="AJ224" s="33" t="s">
        <v>325</v>
      </c>
      <c r="AK224" s="33" t="s">
        <v>326</v>
      </c>
      <c r="AL224" s="105" t="s">
        <v>327</v>
      </c>
    </row>
    <row r="225" spans="1:38" outlineLevel="1" x14ac:dyDescent="0.25">
      <c r="A225" s="293"/>
      <c r="B225" s="367" t="s">
        <v>318</v>
      </c>
      <c r="C225" s="368"/>
      <c r="D225" s="317">
        <f>31+30+31</f>
        <v>92</v>
      </c>
      <c r="E225" s="317">
        <f>31+28+31</f>
        <v>90</v>
      </c>
      <c r="F225" s="317">
        <f>30+31+30</f>
        <v>91</v>
      </c>
      <c r="G225" s="317">
        <f>31+31+30</f>
        <v>92</v>
      </c>
      <c r="H225" s="333"/>
      <c r="I225" s="317">
        <f>31+30+31</f>
        <v>92</v>
      </c>
      <c r="J225" s="317">
        <f>31+29+31</f>
        <v>91</v>
      </c>
      <c r="K225" s="317">
        <f>30+31+30</f>
        <v>91</v>
      </c>
      <c r="L225" s="317">
        <f>31+31+30</f>
        <v>92</v>
      </c>
      <c r="M225" s="333"/>
      <c r="N225" s="317">
        <f>31+30+31</f>
        <v>92</v>
      </c>
      <c r="O225" s="317">
        <f>31+28+31</f>
        <v>90</v>
      </c>
      <c r="P225" s="317">
        <f>30+31+30</f>
        <v>91</v>
      </c>
      <c r="Q225" s="317">
        <f>31+31+30</f>
        <v>92</v>
      </c>
      <c r="R225" s="333"/>
      <c r="S225" s="317">
        <f>31+30+31</f>
        <v>92</v>
      </c>
      <c r="T225" s="317">
        <f>31+28+31</f>
        <v>90</v>
      </c>
      <c r="U225" s="317">
        <f>30+31+30</f>
        <v>91</v>
      </c>
      <c r="V225" s="317">
        <f>31+31+30</f>
        <v>92</v>
      </c>
      <c r="W225" s="333"/>
      <c r="X225" s="317">
        <f>31+30+31</f>
        <v>92</v>
      </c>
      <c r="Y225" s="317">
        <f>31+28+31</f>
        <v>90</v>
      </c>
      <c r="Z225" s="317">
        <f>30+31+30</f>
        <v>91</v>
      </c>
      <c r="AA225" s="317">
        <f>31+31+30</f>
        <v>92</v>
      </c>
      <c r="AB225" s="333"/>
      <c r="AC225" s="317">
        <f>31+30+31</f>
        <v>92</v>
      </c>
      <c r="AD225" s="317">
        <f>31+29+31</f>
        <v>91</v>
      </c>
      <c r="AE225" s="317">
        <f>30+31+30</f>
        <v>91</v>
      </c>
      <c r="AF225" s="317">
        <f>31+31+30</f>
        <v>92</v>
      </c>
      <c r="AG225" s="333"/>
      <c r="AH225" s="317">
        <f>31+30+31</f>
        <v>92</v>
      </c>
      <c r="AI225" s="317">
        <f>31+28+31</f>
        <v>90</v>
      </c>
      <c r="AJ225" s="317">
        <f>30+31+30</f>
        <v>91</v>
      </c>
      <c r="AK225" s="317">
        <f>31+31+30</f>
        <v>92</v>
      </c>
      <c r="AL225" s="333"/>
    </row>
    <row r="226" spans="1:38" outlineLevel="1" x14ac:dyDescent="0.25">
      <c r="A226" s="293"/>
      <c r="B226" s="510" t="s">
        <v>21</v>
      </c>
      <c r="C226" s="511"/>
      <c r="D226" s="65">
        <f t="shared" ref="D226:K226" si="837">D17/D187</f>
        <v>9.1942057111172737</v>
      </c>
      <c r="E226" s="360">
        <f t="shared" si="837"/>
        <v>8.9623365548607161</v>
      </c>
      <c r="F226" s="360">
        <f t="shared" si="837"/>
        <v>8.6301543131798635</v>
      </c>
      <c r="G226" s="360">
        <f t="shared" si="837"/>
        <v>7.6757679180887379</v>
      </c>
      <c r="H226" s="361">
        <f t="shared" si="837"/>
        <v>30.157679180887374</v>
      </c>
      <c r="I226" s="360">
        <f t="shared" si="837"/>
        <v>7.8153287082920375</v>
      </c>
      <c r="J226" s="360">
        <f t="shared" si="837"/>
        <v>6.3716259298618487</v>
      </c>
      <c r="K226" s="360">
        <f t="shared" si="837"/>
        <v>4.7918510952218822</v>
      </c>
      <c r="L226" s="67">
        <v>6.7415730701591459</v>
      </c>
      <c r="M226" s="66"/>
      <c r="N226" s="67">
        <v>7.5000000887544127</v>
      </c>
      <c r="O226" s="67">
        <v>7.3626377346315905</v>
      </c>
      <c r="P226" s="67">
        <v>7.865168530735037</v>
      </c>
      <c r="Q226" s="67">
        <v>7.7173912977977261</v>
      </c>
      <c r="R226" s="66"/>
      <c r="S226" s="67">
        <f>N226</f>
        <v>7.5000000887544127</v>
      </c>
      <c r="T226" s="67">
        <f t="shared" ref="T226:V226" si="838">O226</f>
        <v>7.3626377346315905</v>
      </c>
      <c r="U226" s="67">
        <f t="shared" si="838"/>
        <v>7.865168530735037</v>
      </c>
      <c r="V226" s="67">
        <f t="shared" si="838"/>
        <v>7.7173912977977261</v>
      </c>
      <c r="W226" s="66"/>
      <c r="X226" s="67">
        <f>S226</f>
        <v>7.5000000887544127</v>
      </c>
      <c r="Y226" s="67">
        <f t="shared" ref="Y226" si="839">T226</f>
        <v>7.3626377346315905</v>
      </c>
      <c r="Z226" s="67">
        <f t="shared" ref="Z226" si="840">U226</f>
        <v>7.865168530735037</v>
      </c>
      <c r="AA226" s="67">
        <f t="shared" ref="AA226" si="841">V226</f>
        <v>7.7173912977977261</v>
      </c>
      <c r="AB226" s="27"/>
      <c r="AC226" s="67">
        <f>X226</f>
        <v>7.5000000887544127</v>
      </c>
      <c r="AD226" s="67">
        <f t="shared" ref="AD226" si="842">Y226</f>
        <v>7.3626377346315905</v>
      </c>
      <c r="AE226" s="67">
        <f t="shared" ref="AE226" si="843">Z226</f>
        <v>7.865168530735037</v>
      </c>
      <c r="AF226" s="67">
        <f t="shared" ref="AF226" si="844">AA226</f>
        <v>7.7173912977977261</v>
      </c>
      <c r="AG226" s="27"/>
      <c r="AH226" s="67">
        <f>AC226</f>
        <v>7.5000000887544127</v>
      </c>
      <c r="AI226" s="67">
        <f t="shared" ref="AI226" si="845">AD226</f>
        <v>7.3626377346315905</v>
      </c>
      <c r="AJ226" s="67">
        <f t="shared" ref="AJ226" si="846">AE226</f>
        <v>7.865168530735037</v>
      </c>
      <c r="AK226" s="67">
        <f t="shared" ref="AK226" si="847">AF226</f>
        <v>7.7173912977977261</v>
      </c>
      <c r="AL226" s="27"/>
    </row>
    <row r="227" spans="1:38" s="46" customFormat="1" outlineLevel="1" x14ac:dyDescent="0.25">
      <c r="A227" s="359"/>
      <c r="B227" s="553" t="s">
        <v>60</v>
      </c>
      <c r="C227" s="554"/>
      <c r="D227" s="52">
        <f>D225/D226</f>
        <v>10.00630210924661</v>
      </c>
      <c r="E227" s="52">
        <f>E225/E226</f>
        <v>10.042024136126486</v>
      </c>
      <c r="F227" s="317">
        <f>F225/F226</f>
        <v>10.544423274219552</v>
      </c>
      <c r="G227" s="317">
        <f>G225/G226</f>
        <v>11.985771453979545</v>
      </c>
      <c r="H227" s="361"/>
      <c r="I227" s="317">
        <f>I225/I226</f>
        <v>11.771737752039567</v>
      </c>
      <c r="J227" s="317">
        <f>J225/J226</f>
        <v>14.28206881598479</v>
      </c>
      <c r="K227" s="317">
        <f>K225/K226</f>
        <v>18.990573411335589</v>
      </c>
      <c r="L227" s="52">
        <f>L225/L226</f>
        <v>13.64666659287996</v>
      </c>
      <c r="M227" s="66"/>
      <c r="N227" s="52">
        <f>N225/N226</f>
        <v>12.266666521503895</v>
      </c>
      <c r="O227" s="52">
        <f>O225/O226</f>
        <v>12.223879979408412</v>
      </c>
      <c r="P227" s="52">
        <f>P225/P226</f>
        <v>11.570000012637443</v>
      </c>
      <c r="Q227" s="52">
        <f>Q225/Q226</f>
        <v>11.921126770681381</v>
      </c>
      <c r="R227" s="66"/>
      <c r="S227" s="52">
        <f>S225/S226</f>
        <v>12.266666521503895</v>
      </c>
      <c r="T227" s="52">
        <f>T225/T226</f>
        <v>12.223879979408412</v>
      </c>
      <c r="U227" s="52">
        <f>U225/U226</f>
        <v>11.570000012637443</v>
      </c>
      <c r="V227" s="52">
        <f>V225/V226</f>
        <v>11.921126770681381</v>
      </c>
      <c r="W227" s="66"/>
      <c r="X227" s="52">
        <f>X225/X226</f>
        <v>12.266666521503895</v>
      </c>
      <c r="Y227" s="52">
        <f>Y225/Y226</f>
        <v>12.223879979408412</v>
      </c>
      <c r="Z227" s="52">
        <f>Z225/Z226</f>
        <v>11.570000012637443</v>
      </c>
      <c r="AA227" s="52">
        <f>AA225/AA226</f>
        <v>11.921126770681381</v>
      </c>
      <c r="AB227" s="66"/>
      <c r="AC227" s="52">
        <f>AC225/AC226</f>
        <v>12.266666521503895</v>
      </c>
      <c r="AD227" s="52">
        <f>AD225/AD226</f>
        <v>12.359700868068504</v>
      </c>
      <c r="AE227" s="52">
        <f>AE225/AE226</f>
        <v>11.570000012637443</v>
      </c>
      <c r="AF227" s="52">
        <f>AF225/AF226</f>
        <v>11.921126770681381</v>
      </c>
      <c r="AG227" s="66"/>
      <c r="AH227" s="52">
        <f>AH225/AH226</f>
        <v>12.266666521503895</v>
      </c>
      <c r="AI227" s="52">
        <f>AI225/AI226</f>
        <v>12.223879979408412</v>
      </c>
      <c r="AJ227" s="52">
        <f>AJ225/AJ226</f>
        <v>11.570000012637443</v>
      </c>
      <c r="AK227" s="52">
        <f>AK225/AK226</f>
        <v>11.921126770681381</v>
      </c>
      <c r="AL227" s="66"/>
    </row>
    <row r="228" spans="1:38" outlineLevel="1" x14ac:dyDescent="0.25">
      <c r="A228" s="293"/>
      <c r="B228" s="510" t="s">
        <v>252</v>
      </c>
      <c r="C228" s="511"/>
      <c r="D228" s="65">
        <f t="shared" ref="D228:K228" si="848">D18/D188</f>
        <v>1.6062306215857083</v>
      </c>
      <c r="E228" s="65">
        <f t="shared" si="848"/>
        <v>1.3943173943173943</v>
      </c>
      <c r="F228" s="360">
        <f t="shared" si="848"/>
        <v>1.4497759029791721</v>
      </c>
      <c r="G228" s="360">
        <f t="shared" si="848"/>
        <v>1.3989146070354381</v>
      </c>
      <c r="H228" s="361">
        <f t="shared" si="848"/>
        <v>5.5753236563358177</v>
      </c>
      <c r="I228" s="360">
        <f t="shared" si="848"/>
        <v>1.5875630013487614</v>
      </c>
      <c r="J228" s="360">
        <f t="shared" si="848"/>
        <v>1.3387615601125855</v>
      </c>
      <c r="K228" s="360">
        <f t="shared" si="848"/>
        <v>0.93698699330723578</v>
      </c>
      <c r="L228" s="67">
        <v>1.020968745493843</v>
      </c>
      <c r="M228" s="66"/>
      <c r="N228" s="67">
        <v>1.1330788438926926</v>
      </c>
      <c r="O228" s="67">
        <v>1.057770089696016</v>
      </c>
      <c r="P228" s="67">
        <v>1.0621094888474514</v>
      </c>
      <c r="Q228" s="67">
        <v>1.0275014233753998</v>
      </c>
      <c r="R228" s="66"/>
      <c r="S228" s="67">
        <f>N228</f>
        <v>1.1330788438926926</v>
      </c>
      <c r="T228" s="67">
        <f t="shared" ref="T228:V228" si="849">O228</f>
        <v>1.057770089696016</v>
      </c>
      <c r="U228" s="67">
        <f t="shared" si="849"/>
        <v>1.0621094888474514</v>
      </c>
      <c r="V228" s="67">
        <f t="shared" si="849"/>
        <v>1.0275014233753998</v>
      </c>
      <c r="W228" s="66"/>
      <c r="X228" s="67">
        <f>S228</f>
        <v>1.1330788438926926</v>
      </c>
      <c r="Y228" s="67">
        <f t="shared" ref="Y228" si="850">T228</f>
        <v>1.057770089696016</v>
      </c>
      <c r="Z228" s="67">
        <f t="shared" ref="Z228" si="851">U228</f>
        <v>1.0621094888474514</v>
      </c>
      <c r="AA228" s="67">
        <f t="shared" ref="AA228" si="852">V228</f>
        <v>1.0275014233753998</v>
      </c>
      <c r="AB228" s="27"/>
      <c r="AC228" s="67">
        <f>X228</f>
        <v>1.1330788438926926</v>
      </c>
      <c r="AD228" s="67">
        <f t="shared" ref="AD228" si="853">Y228</f>
        <v>1.057770089696016</v>
      </c>
      <c r="AE228" s="67">
        <f t="shared" ref="AE228" si="854">Z228</f>
        <v>1.0621094888474514</v>
      </c>
      <c r="AF228" s="67">
        <f t="shared" ref="AF228" si="855">AA228</f>
        <v>1.0275014233753998</v>
      </c>
      <c r="AG228" s="27"/>
      <c r="AH228" s="67">
        <f>AC228</f>
        <v>1.1330788438926926</v>
      </c>
      <c r="AI228" s="67">
        <f t="shared" ref="AI228" si="856">AD228</f>
        <v>1.057770089696016</v>
      </c>
      <c r="AJ228" s="67">
        <f t="shared" ref="AJ228" si="857">AE228</f>
        <v>1.0621094888474514</v>
      </c>
      <c r="AK228" s="67">
        <f t="shared" ref="AK228" si="858">AF228</f>
        <v>1.0275014233753998</v>
      </c>
      <c r="AL228" s="27"/>
    </row>
    <row r="229" spans="1:38" s="46" customFormat="1" outlineLevel="1" x14ac:dyDescent="0.25">
      <c r="A229" s="359"/>
      <c r="B229" s="553" t="s">
        <v>60</v>
      </c>
      <c r="C229" s="554"/>
      <c r="D229" s="52">
        <f t="shared" ref="D229:AA229" si="859">D225/D228</f>
        <v>57.276955602536987</v>
      </c>
      <c r="E229" s="52">
        <f t="shared" si="859"/>
        <v>64.547713717693838</v>
      </c>
      <c r="F229" s="317">
        <f t="shared" si="859"/>
        <v>62.768321513002363</v>
      </c>
      <c r="G229" s="317">
        <f t="shared" si="859"/>
        <v>65.765272259873825</v>
      </c>
      <c r="H229" s="361"/>
      <c r="I229" s="317">
        <f t="shared" si="859"/>
        <v>57.950456090144868</v>
      </c>
      <c r="J229" s="317">
        <f t="shared" si="859"/>
        <v>67.973269259648589</v>
      </c>
      <c r="K229" s="317">
        <f>K225/K228</f>
        <v>97.119811320754721</v>
      </c>
      <c r="L229" s="52">
        <f t="shared" si="859"/>
        <v>90.11049594422164</v>
      </c>
      <c r="M229" s="66"/>
      <c r="N229" s="52">
        <f t="shared" si="859"/>
        <v>81.194702818679389</v>
      </c>
      <c r="O229" s="52">
        <f t="shared" si="859"/>
        <v>85.08465202099292</v>
      </c>
      <c r="P229" s="52">
        <f t="shared" si="859"/>
        <v>85.678549109610813</v>
      </c>
      <c r="Q229" s="52">
        <f t="shared" si="859"/>
        <v>89.537588860728619</v>
      </c>
      <c r="R229" s="66"/>
      <c r="S229" s="52">
        <f t="shared" si="859"/>
        <v>81.194702818679389</v>
      </c>
      <c r="T229" s="52">
        <f t="shared" si="859"/>
        <v>85.08465202099292</v>
      </c>
      <c r="U229" s="52">
        <f t="shared" si="859"/>
        <v>85.678549109610813</v>
      </c>
      <c r="V229" s="52">
        <f t="shared" si="859"/>
        <v>89.537588860728619</v>
      </c>
      <c r="W229" s="66"/>
      <c r="X229" s="52">
        <f t="shared" si="859"/>
        <v>81.194702818679389</v>
      </c>
      <c r="Y229" s="52">
        <f t="shared" si="859"/>
        <v>85.08465202099292</v>
      </c>
      <c r="Z229" s="52">
        <f t="shared" si="859"/>
        <v>85.678549109610813</v>
      </c>
      <c r="AA229" s="52">
        <f t="shared" si="859"/>
        <v>89.537588860728619</v>
      </c>
      <c r="AB229" s="66"/>
      <c r="AC229" s="52">
        <f t="shared" ref="AC229:AF229" si="860">AC225/AC228</f>
        <v>81.194702818679389</v>
      </c>
      <c r="AD229" s="52">
        <f t="shared" si="860"/>
        <v>86.030037043448402</v>
      </c>
      <c r="AE229" s="52">
        <f t="shared" si="860"/>
        <v>85.678549109610813</v>
      </c>
      <c r="AF229" s="52">
        <f t="shared" si="860"/>
        <v>89.537588860728619</v>
      </c>
      <c r="AG229" s="66"/>
      <c r="AH229" s="52">
        <f t="shared" ref="AH229:AK229" si="861">AH225/AH228</f>
        <v>81.194702818679389</v>
      </c>
      <c r="AI229" s="52">
        <f t="shared" si="861"/>
        <v>85.08465202099292</v>
      </c>
      <c r="AJ229" s="52">
        <f t="shared" si="861"/>
        <v>85.678549109610813</v>
      </c>
      <c r="AK229" s="52">
        <f t="shared" si="861"/>
        <v>89.537588860728619</v>
      </c>
      <c r="AL229" s="66"/>
    </row>
    <row r="230" spans="1:38" s="46" customFormat="1" outlineLevel="1" x14ac:dyDescent="0.25">
      <c r="A230" s="359"/>
      <c r="B230" s="510" t="s">
        <v>61</v>
      </c>
      <c r="C230" s="511"/>
      <c r="D230" s="65">
        <f t="shared" ref="D230:K230" si="862">D22/D201</f>
        <v>0.40708768741481144</v>
      </c>
      <c r="E230" s="65">
        <f t="shared" si="862"/>
        <v>0.41770766845992524</v>
      </c>
      <c r="F230" s="360">
        <f t="shared" si="862"/>
        <v>0.40134450846865721</v>
      </c>
      <c r="G230" s="360">
        <f t="shared" si="862"/>
        <v>0.38522316550390839</v>
      </c>
      <c r="H230" s="362">
        <f t="shared" si="862"/>
        <v>1.533243674876019</v>
      </c>
      <c r="I230" s="360">
        <f t="shared" si="862"/>
        <v>0.39996315401621224</v>
      </c>
      <c r="J230" s="360">
        <f t="shared" si="862"/>
        <v>0.40743710534228722</v>
      </c>
      <c r="K230" s="360">
        <f t="shared" si="862"/>
        <v>0.464567843866171</v>
      </c>
      <c r="L230" s="67">
        <v>0.38522316550390839</v>
      </c>
      <c r="M230" s="260"/>
      <c r="N230" s="67">
        <v>0.40352542071551184</v>
      </c>
      <c r="O230" s="67">
        <v>0.4125723869011062</v>
      </c>
      <c r="P230" s="67">
        <v>0.43295617616741411</v>
      </c>
      <c r="Q230" s="67">
        <v>0.38522316550390839</v>
      </c>
      <c r="R230" s="260"/>
      <c r="S230" s="67">
        <f>AVERAGE(I230,N230)</f>
        <v>0.40174428736586204</v>
      </c>
      <c r="T230" s="67">
        <f t="shared" ref="T230" si="863">AVERAGE(J230,O230)</f>
        <v>0.41000474612169668</v>
      </c>
      <c r="U230" s="67">
        <f t="shared" ref="U230" si="864">AVERAGE(K230,P230)</f>
        <v>0.44876201001679256</v>
      </c>
      <c r="V230" s="67">
        <f t="shared" ref="V230" si="865">AVERAGE(L230,Q230)</f>
        <v>0.38522316550390839</v>
      </c>
      <c r="W230" s="260"/>
      <c r="X230" s="67">
        <f>AVERAGE(N230,S230)</f>
        <v>0.40263485404068694</v>
      </c>
      <c r="Y230" s="67">
        <f t="shared" ref="Y230" si="866">AVERAGE(O230,T230)</f>
        <v>0.41128856651140144</v>
      </c>
      <c r="Z230" s="67">
        <f t="shared" ref="Z230" si="867">AVERAGE(P230,U230)</f>
        <v>0.44085909309210336</v>
      </c>
      <c r="AA230" s="67">
        <f t="shared" ref="AA230" si="868">AVERAGE(Q230,V230)</f>
        <v>0.38522316550390839</v>
      </c>
      <c r="AB230" s="66"/>
      <c r="AC230" s="67">
        <f>AVERAGE(S230,X230)</f>
        <v>0.40218957070327449</v>
      </c>
      <c r="AD230" s="67">
        <f t="shared" ref="AD230" si="869">AVERAGE(T230,Y230)</f>
        <v>0.41064665631654906</v>
      </c>
      <c r="AE230" s="67">
        <f t="shared" ref="AE230" si="870">AVERAGE(U230,Z230)</f>
        <v>0.44481055155444793</v>
      </c>
      <c r="AF230" s="67">
        <f t="shared" ref="AF230" si="871">AVERAGE(V230,AA230)</f>
        <v>0.38522316550390839</v>
      </c>
      <c r="AG230" s="66"/>
      <c r="AH230" s="67">
        <f>AVERAGE(X230,AC230)</f>
        <v>0.40241221237198072</v>
      </c>
      <c r="AI230" s="67">
        <f t="shared" ref="AI230" si="872">AVERAGE(Y230,AD230)</f>
        <v>0.41096761141397525</v>
      </c>
      <c r="AJ230" s="67">
        <f t="shared" ref="AJ230" si="873">AVERAGE(Z230,AE230)</f>
        <v>0.44283482232327565</v>
      </c>
      <c r="AK230" s="67">
        <f t="shared" ref="AK230" si="874">AVERAGE(AA230,AF230)</f>
        <v>0.38522316550390839</v>
      </c>
      <c r="AL230" s="66"/>
    </row>
    <row r="231" spans="1:38" s="46" customFormat="1" outlineLevel="1" x14ac:dyDescent="0.25">
      <c r="A231" s="359"/>
      <c r="B231" s="553" t="s">
        <v>22</v>
      </c>
      <c r="C231" s="554"/>
      <c r="D231" s="37">
        <f>D225/D230</f>
        <v>225.99553571428572</v>
      </c>
      <c r="E231" s="37">
        <f>E225/E230</f>
        <v>215.46168958742632</v>
      </c>
      <c r="F231" s="295">
        <f>F225/F230</f>
        <v>226.73787252556016</v>
      </c>
      <c r="G231" s="295">
        <f>G225/G230</f>
        <v>238.82260528038412</v>
      </c>
      <c r="H231" s="363"/>
      <c r="I231" s="295">
        <f>I225/I230</f>
        <v>230.02118839244588</v>
      </c>
      <c r="J231" s="295">
        <f>J225/J230</f>
        <v>223.34735547355476</v>
      </c>
      <c r="K231" s="295">
        <f>K225/K230</f>
        <v>195.88097024256064</v>
      </c>
      <c r="L231" s="37">
        <f>L225/L230</f>
        <v>238.82260528038412</v>
      </c>
      <c r="M231" s="61"/>
      <c r="N231" s="37">
        <f>N225/N230</f>
        <v>227.99059310035545</v>
      </c>
      <c r="O231" s="37">
        <f>O225/O230</f>
        <v>218.14353761288692</v>
      </c>
      <c r="P231" s="37">
        <f>P225/P230</f>
        <v>210.18293538515641</v>
      </c>
      <c r="Q231" s="37">
        <f>Q225/Q230</f>
        <v>238.82260528038412</v>
      </c>
      <c r="R231" s="61"/>
      <c r="S231" s="37">
        <f>S225/S230</f>
        <v>229.00138942415649</v>
      </c>
      <c r="T231" s="37">
        <f>T225/T230</f>
        <v>219.50965409870255</v>
      </c>
      <c r="U231" s="37">
        <f>U225/U230</f>
        <v>202.7800882623616</v>
      </c>
      <c r="V231" s="37">
        <f>V225/V230</f>
        <v>238.82260528038412</v>
      </c>
      <c r="W231" s="61"/>
      <c r="X231" s="37">
        <f>X225/X230</f>
        <v>228.49487339887182</v>
      </c>
      <c r="Y231" s="37">
        <f>Y225/Y230</f>
        <v>218.82446371750791</v>
      </c>
      <c r="Z231" s="37">
        <f>Z225/Z230</f>
        <v>206.41515946000567</v>
      </c>
      <c r="AA231" s="37">
        <f>AA225/AA230</f>
        <v>238.82260528038412</v>
      </c>
      <c r="AB231" s="61"/>
      <c r="AC231" s="37">
        <f>AC225/AC230</f>
        <v>228.74785101743805</v>
      </c>
      <c r="AD231" s="37">
        <f>AD225/AD230</f>
        <v>221.60170696690682</v>
      </c>
      <c r="AE231" s="37">
        <f>AE225/AE230</f>
        <v>204.58147784936475</v>
      </c>
      <c r="AF231" s="37">
        <f>AF225/AF230</f>
        <v>238.82260528038412</v>
      </c>
      <c r="AG231" s="61"/>
      <c r="AH231" s="37">
        <f>AH225/AH230</f>
        <v>228.62129222598566</v>
      </c>
      <c r="AI231" s="37">
        <f>AI225/AI230</f>
        <v>218.99535997580438</v>
      </c>
      <c r="AJ231" s="37">
        <f>AJ225/AJ230</f>
        <v>205.49422812456407</v>
      </c>
      <c r="AK231" s="37">
        <f>AK225/AK230</f>
        <v>238.82260528038412</v>
      </c>
      <c r="AL231" s="61"/>
    </row>
    <row r="232" spans="1:38" s="46" customFormat="1" outlineLevel="1" x14ac:dyDescent="0.25">
      <c r="A232" s="359"/>
      <c r="B232" s="510" t="s">
        <v>254</v>
      </c>
      <c r="C232" s="511"/>
      <c r="D232" s="63">
        <f>(D191+D186)/D199</f>
        <v>2.4783172266068774E-2</v>
      </c>
      <c r="E232" s="63">
        <f>(E191+E186)/E199</f>
        <v>1.862044337628033E-2</v>
      </c>
      <c r="F232" s="327">
        <f t="shared" ref="F232:K232" si="875">(F191+F186)/F199</f>
        <v>1.4104190097872643E-2</v>
      </c>
      <c r="G232" s="327">
        <f t="shared" si="875"/>
        <v>1.5114935950133718E-2</v>
      </c>
      <c r="H232" s="363">
        <f t="shared" si="875"/>
        <v>1.5114935950133718E-2</v>
      </c>
      <c r="I232" s="327">
        <f t="shared" si="875"/>
        <v>9.6713821566244626E-3</v>
      </c>
      <c r="J232" s="327">
        <f t="shared" si="875"/>
        <v>9.1597553031598795E-3</v>
      </c>
      <c r="K232" s="327">
        <f t="shared" si="875"/>
        <v>1.5555616562459249E-2</v>
      </c>
      <c r="L232" s="71">
        <f>AVERAGE(G232,I232,J232,K232)</f>
        <v>1.2375422493094326E-2</v>
      </c>
      <c r="M232" s="61"/>
      <c r="N232" s="71">
        <f>AVERAGE(I232,J232,K232,L232)</f>
        <v>1.1690544128834478E-2</v>
      </c>
      <c r="O232" s="71">
        <f>AVERAGE(J232,K232,L232,N232)</f>
        <v>1.2195334621886985E-2</v>
      </c>
      <c r="P232" s="71">
        <f>AVERAGE(K232,L232,N232,O232)</f>
        <v>1.2954229451568759E-2</v>
      </c>
      <c r="Q232" s="71">
        <f>AVERAGE(L232,N232,O232,P232)</f>
        <v>1.2303882673846137E-2</v>
      </c>
      <c r="R232" s="61"/>
      <c r="S232" s="71">
        <f>AVERAGE(N232,O232,P232,Q232)</f>
        <v>1.2285997719034089E-2</v>
      </c>
      <c r="T232" s="71">
        <f>AVERAGE(O232,P232,Q232,S232)</f>
        <v>1.2434861116583993E-2</v>
      </c>
      <c r="U232" s="71">
        <f>AVERAGE(P232,Q232,S232,T232)</f>
        <v>1.2494742740258245E-2</v>
      </c>
      <c r="V232" s="71">
        <f>AVERAGE(Q232,S232,T232,U232)</f>
        <v>1.2379871062430617E-2</v>
      </c>
      <c r="W232" s="61"/>
      <c r="X232" s="71">
        <f>AVERAGE(S232,T232,U232,V232)</f>
        <v>1.2398868159576736E-2</v>
      </c>
      <c r="Y232" s="71">
        <f>AVERAGE(T232,U232,V232,X232)</f>
        <v>1.2427085769712397E-2</v>
      </c>
      <c r="Z232" s="71">
        <f>AVERAGE(U232,V232,X232,Y232)</f>
        <v>1.2425141932994498E-2</v>
      </c>
      <c r="AA232" s="71">
        <f>AVERAGE(V232,X232,Y232,Z232)</f>
        <v>1.2407741731178562E-2</v>
      </c>
      <c r="AB232" s="61"/>
      <c r="AC232" s="71">
        <f>AVERAGE(X232,Y232,Z232,AA232)</f>
        <v>1.2414709398365548E-2</v>
      </c>
      <c r="AD232" s="71">
        <f>AVERAGE(Y232,Z232,AA232,AC232)</f>
        <v>1.2418669708062751E-2</v>
      </c>
      <c r="AE232" s="71">
        <f>AVERAGE(Z232,AA232,AC232,AD232)</f>
        <v>1.2416565692650341E-2</v>
      </c>
      <c r="AF232" s="71">
        <f>AVERAGE(AA232,AC232,AD232,AE232)</f>
        <v>1.2414421632564301E-2</v>
      </c>
      <c r="AG232" s="61"/>
      <c r="AH232" s="71">
        <f>AVERAGE(AC232,AD232,AE232,AF232)</f>
        <v>1.2416091607910736E-2</v>
      </c>
      <c r="AI232" s="71">
        <f>AVERAGE(AD232,AE232,AF232,AH232)</f>
        <v>1.2416437160297032E-2</v>
      </c>
      <c r="AJ232" s="71">
        <f>AVERAGE(AE232,AF232,AH232,AI232)</f>
        <v>1.2415879023355603E-2</v>
      </c>
      <c r="AK232" s="71">
        <f>AVERAGE(AF232,AH232,AI232,AJ232)</f>
        <v>1.2415707356031917E-2</v>
      </c>
      <c r="AL232" s="61"/>
    </row>
    <row r="233" spans="1:38" s="46" customFormat="1" outlineLevel="1" x14ac:dyDescent="0.25">
      <c r="A233" s="359"/>
      <c r="B233" s="50" t="s">
        <v>253</v>
      </c>
      <c r="C233" s="290"/>
      <c r="D233" s="63">
        <f>D186/(D186+D191)</f>
        <v>0.4648626817447496</v>
      </c>
      <c r="E233" s="63">
        <f>E186/(E186+E191)</f>
        <v>0.23318112633181123</v>
      </c>
      <c r="F233" s="327">
        <f t="shared" ref="F233:K233" si="876">F186/(F186+F191)</f>
        <v>0.24465558194774345</v>
      </c>
      <c r="G233" s="327">
        <f t="shared" si="876"/>
        <v>0.24268502581755594</v>
      </c>
      <c r="H233" s="363">
        <f t="shared" si="876"/>
        <v>0.24268502581755594</v>
      </c>
      <c r="I233" s="327">
        <f t="shared" si="876"/>
        <v>0.25503355704697983</v>
      </c>
      <c r="J233" s="327">
        <f t="shared" si="876"/>
        <v>0.21017083829956296</v>
      </c>
      <c r="K233" s="327">
        <f t="shared" si="876"/>
        <v>0.50716964482682547</v>
      </c>
      <c r="L233" s="71">
        <f>AVERAGE(G233,I233,J233,K233)</f>
        <v>0.30376476649773104</v>
      </c>
      <c r="M233" s="61"/>
      <c r="N233" s="71">
        <f>AVERAGE(I233,J233,K233,L233)</f>
        <v>0.31903470166777481</v>
      </c>
      <c r="O233" s="71">
        <f>AVERAGE(J233,K233,L233,N233)</f>
        <v>0.33503498782297358</v>
      </c>
      <c r="P233" s="71">
        <f>AVERAGE(K233,L233,N233,O233)</f>
        <v>0.36625102520382624</v>
      </c>
      <c r="Q233" s="71">
        <f>AVERAGE(L233,N233,O233,P233)</f>
        <v>0.33102137029807643</v>
      </c>
      <c r="R233" s="61"/>
      <c r="S233" s="71">
        <f>AVERAGE(N233,O233,P233,Q233)</f>
        <v>0.33783552124816274</v>
      </c>
      <c r="T233" s="71">
        <f>AVERAGE(O233,P233,Q233,S233)</f>
        <v>0.34253572614325972</v>
      </c>
      <c r="U233" s="71">
        <f>AVERAGE(P233,Q233,S233,T233)</f>
        <v>0.3444109107233313</v>
      </c>
      <c r="V233" s="71">
        <f>AVERAGE(Q233,S233,T233,U233)</f>
        <v>0.33895088210320756</v>
      </c>
      <c r="W233" s="61"/>
      <c r="X233" s="71">
        <f>AVERAGE(S233,T233,U233,V233)</f>
        <v>0.34093326005449032</v>
      </c>
      <c r="Y233" s="71">
        <f>AVERAGE(T233,U233,V233,X233)</f>
        <v>0.34170769475607227</v>
      </c>
      <c r="Z233" s="71">
        <f>AVERAGE(U233,V233,X233,Y233)</f>
        <v>0.34150068690927537</v>
      </c>
      <c r="AA233" s="71">
        <f>AVERAGE(V233,X233,Y233,Z233)</f>
        <v>0.34077313095576139</v>
      </c>
      <c r="AB233" s="61"/>
      <c r="AC233" s="71">
        <f>AVERAGE(X233,Y233,Z233,AA233)</f>
        <v>0.34122869316889981</v>
      </c>
      <c r="AD233" s="71">
        <f>AVERAGE(Y233,Z233,AA233,AC233)</f>
        <v>0.34130255144750221</v>
      </c>
      <c r="AE233" s="71">
        <f>AVERAGE(Z233,AA233,AC233,AD233)</f>
        <v>0.34120126562035968</v>
      </c>
      <c r="AF233" s="71">
        <f>AVERAGE(AA233,AC233,AD233,AE233)</f>
        <v>0.34112641029813084</v>
      </c>
      <c r="AG233" s="61"/>
      <c r="AH233" s="71">
        <f>AVERAGE(AC233,AD233,AE233,AF233)</f>
        <v>0.34121473013372311</v>
      </c>
      <c r="AI233" s="71">
        <f>AVERAGE(AD233,AE233,AF233,AH233)</f>
        <v>0.34121123937492898</v>
      </c>
      <c r="AJ233" s="71">
        <f>AVERAGE(AE233,AF233,AH233,AI233)</f>
        <v>0.34118841135678563</v>
      </c>
      <c r="AK233" s="71">
        <f>AVERAGE(AF233,AH233,AI233,AJ233)</f>
        <v>0.34118519779089213</v>
      </c>
      <c r="AL233" s="61"/>
    </row>
    <row r="234" spans="1:38" s="46" customFormat="1" outlineLevel="1" x14ac:dyDescent="0.25">
      <c r="A234" s="359"/>
      <c r="B234" s="82" t="s">
        <v>255</v>
      </c>
      <c r="C234" s="290"/>
      <c r="D234" s="63">
        <f>+(D207+D210)/D220</f>
        <v>-3.1717034875642636</v>
      </c>
      <c r="E234" s="63">
        <f>+(E207+E210)/E220</f>
        <v>-1.8304138862408643</v>
      </c>
      <c r="F234" s="327">
        <f>+(F207+F210)/F220</f>
        <v>-2.5837230840472332</v>
      </c>
      <c r="G234" s="327">
        <f>+(G207+G210)/G220</f>
        <v>-1.7921681913015568</v>
      </c>
      <c r="H234" s="363"/>
      <c r="I234" s="327">
        <f>+(I207+I210)/I220</f>
        <v>-1.7235726649997785</v>
      </c>
      <c r="J234" s="327">
        <f>+(J207+J210)/J220</f>
        <v>-1.8605318005017988</v>
      </c>
      <c r="K234" s="327">
        <f>+(K207+K210)/K220</f>
        <v>-1.9516598448569742</v>
      </c>
      <c r="L234" s="63">
        <f>+(L207+L210)/L220</f>
        <v>-1.8363878019158033</v>
      </c>
      <c r="M234" s="61"/>
      <c r="N234" s="63">
        <f>+(N207+N210)/N220</f>
        <v>-1.8239194815789326</v>
      </c>
      <c r="O234" s="63">
        <f>+(O207+O210)/O220</f>
        <v>-1.813698555504792</v>
      </c>
      <c r="P234" s="63">
        <f>+(P207+P210)/P220</f>
        <v>-1.8064974956820887</v>
      </c>
      <c r="Q234" s="63">
        <f>+(Q207+Q210)/Q220</f>
        <v>-1.8181143290847097</v>
      </c>
      <c r="R234" s="61"/>
      <c r="S234" s="63">
        <f t="shared" ref="S234:AA234" si="877">+(S207+S210)/S220</f>
        <v>-1.8817179922774787</v>
      </c>
      <c r="T234" s="63">
        <f t="shared" si="877"/>
        <v>-1.9162164808812761</v>
      </c>
      <c r="U234" s="63">
        <f t="shared" si="877"/>
        <v>-1.9746783453288226</v>
      </c>
      <c r="V234" s="63">
        <f t="shared" si="877"/>
        <v>-2.0521628980362117</v>
      </c>
      <c r="W234" s="61">
        <f t="shared" si="877"/>
        <v>-2.0521628980362117</v>
      </c>
      <c r="X234" s="63">
        <f t="shared" si="877"/>
        <v>-2.1917913366809785</v>
      </c>
      <c r="Y234" s="63">
        <f t="shared" si="877"/>
        <v>-2.2908664160936065</v>
      </c>
      <c r="Z234" s="63">
        <f t="shared" si="877"/>
        <v>-2.4371007619516045</v>
      </c>
      <c r="AA234" s="63">
        <f t="shared" si="877"/>
        <v>-2.6372643115491501</v>
      </c>
      <c r="AB234" s="61"/>
      <c r="AC234" s="63">
        <f>+(AC207+AC210)/AC220</f>
        <v>-2.9831260547721761</v>
      </c>
      <c r="AD234" s="63">
        <f>+(AD207+AD210)/AD220</f>
        <v>-3.294999720916461</v>
      </c>
      <c r="AE234" s="63">
        <f>+(AE207+AE210)/AE220</f>
        <v>-3.7793099698007482</v>
      </c>
      <c r="AF234" s="63">
        <f>+(AF207+AF210)/AF220</f>
        <v>-4.629862291102258</v>
      </c>
      <c r="AG234" s="61"/>
      <c r="AH234" s="63">
        <f>+(AH207+AH210)/AH220</f>
        <v>-6.5800590731967779</v>
      </c>
      <c r="AI234" s="63">
        <f>+(AI207+AI210)/AI220</f>
        <v>-10.190832267508616</v>
      </c>
      <c r="AJ234" s="63">
        <f>+(AJ207+AJ210)/AJ220</f>
        <v>-35.92745023772482</v>
      </c>
      <c r="AK234" s="63">
        <f>+(AK207+AK210)/AK220</f>
        <v>15.840824868867221</v>
      </c>
      <c r="AL234" s="61"/>
    </row>
    <row r="235" spans="1:38" s="46" customFormat="1" outlineLevel="1" x14ac:dyDescent="0.25">
      <c r="A235" s="359"/>
      <c r="B235" s="50" t="s">
        <v>256</v>
      </c>
      <c r="C235" s="290"/>
      <c r="D235" s="63">
        <f>+D207/(D207+D210)</f>
        <v>0</v>
      </c>
      <c r="E235" s="63">
        <f>+E207/(E207+E210)</f>
        <v>8.1375793413985785E-3</v>
      </c>
      <c r="F235" s="327">
        <f>+F207/(F207+F210)</f>
        <v>0</v>
      </c>
      <c r="G235" s="327">
        <f>+G207/(G207+G210)</f>
        <v>0</v>
      </c>
      <c r="H235" s="363"/>
      <c r="I235" s="327">
        <f>+I207/(I207+I210)</f>
        <v>8.5546532987690757E-2</v>
      </c>
      <c r="J235" s="327">
        <f>+J207/(J207+J210)</f>
        <v>0.16813887778982817</v>
      </c>
      <c r="K235" s="327">
        <f>+K207/(K207+K210)</f>
        <v>0.12987992894360045</v>
      </c>
      <c r="L235" s="63">
        <f>+L207/(L207+L210)</f>
        <v>0.10668691711345739</v>
      </c>
      <c r="M235" s="61"/>
      <c r="N235" s="63">
        <f>+N207/(N207+N210)</f>
        <v>8.2223628718424327E-2</v>
      </c>
      <c r="O235" s="63">
        <f>+O207/(O207+O210)</f>
        <v>5.6382766241213342E-2</v>
      </c>
      <c r="P235" s="63">
        <f>+P207/(P207+P210)</f>
        <v>2.9044597810881936E-2</v>
      </c>
      <c r="Q235" s="63">
        <f>+Q207/(Q207+Q210)</f>
        <v>6.827989293712787E-2</v>
      </c>
      <c r="R235" s="61"/>
      <c r="S235" s="63">
        <f t="shared" ref="S235:AA235" si="878">+S207/(S207+S210)</f>
        <v>5.2099252549390088E-2</v>
      </c>
      <c r="T235" s="63">
        <f t="shared" si="878"/>
        <v>3.5346680239791879E-2</v>
      </c>
      <c r="U235" s="63">
        <f t="shared" si="878"/>
        <v>1.7991306600650566E-2</v>
      </c>
      <c r="V235" s="63">
        <f t="shared" si="878"/>
        <v>7.3283695843348776E-2</v>
      </c>
      <c r="W235" s="61">
        <f t="shared" si="878"/>
        <v>7.3283695843348776E-2</v>
      </c>
      <c r="X235" s="63">
        <f t="shared" si="878"/>
        <v>5.5988533548329299E-2</v>
      </c>
      <c r="Y235" s="63">
        <f t="shared" si="878"/>
        <v>3.8035540408958131E-2</v>
      </c>
      <c r="Z235" s="63">
        <f t="shared" si="878"/>
        <v>1.9386457396321225E-2</v>
      </c>
      <c r="AA235" s="63">
        <f t="shared" si="878"/>
        <v>0.12201872588093882</v>
      </c>
      <c r="AB235" s="61"/>
      <c r="AC235" s="63">
        <f>+AC207/(AC207+AC210)</f>
        <v>9.4393487685412142E-2</v>
      </c>
      <c r="AD235" s="63">
        <f>+AD207/(AD207+AD210)</f>
        <v>6.4973345348279032E-2</v>
      </c>
      <c r="AE235" s="63">
        <f>+AE207/(AE207+AE210)</f>
        <v>3.3577493721900879E-2</v>
      </c>
      <c r="AF235" s="63">
        <f>+AF207/(AF207+AF210)</f>
        <v>0.27020697854556591</v>
      </c>
      <c r="AG235" s="61"/>
      <c r="AH235" s="63">
        <f>+AH207/(AH207+AH210)</f>
        <v>0.21733670768695787</v>
      </c>
      <c r="AI235" s="63">
        <f>+AI207/(AI207+AI210)</f>
        <v>0.15620769374960947</v>
      </c>
      <c r="AJ235" s="63">
        <f>+AJ207/(AJ207+AJ210)</f>
        <v>8.472087296387501E-2</v>
      </c>
      <c r="AK235" s="63">
        <f>+AK207/(AK207+AK210)</f>
        <v>0.24683434946807198</v>
      </c>
      <c r="AL235" s="61"/>
    </row>
    <row r="236" spans="1:38" s="46" customFormat="1" outlineLevel="1" x14ac:dyDescent="0.25">
      <c r="A236" s="359"/>
      <c r="B236" s="82" t="s">
        <v>250</v>
      </c>
      <c r="C236" s="290"/>
      <c r="D236" s="63">
        <f>+D195/(D206+D212)</f>
        <v>7.7585075018799465E-2</v>
      </c>
      <c r="E236" s="63">
        <f>+E195/(E206+E212)</f>
        <v>0.12468259571674534</v>
      </c>
      <c r="F236" s="318">
        <f t="shared" ref="F236:K236" si="879">+F195/(F206+F212)</f>
        <v>0.19119242713361023</v>
      </c>
      <c r="G236" s="318">
        <f t="shared" si="879"/>
        <v>0.22035590386103276</v>
      </c>
      <c r="H236" s="358">
        <f t="shared" si="879"/>
        <v>0.22035590386103276</v>
      </c>
      <c r="I236" s="357">
        <f t="shared" si="879"/>
        <v>0.20507171706404201</v>
      </c>
      <c r="J236" s="357">
        <f t="shared" si="879"/>
        <v>0.21050752296288999</v>
      </c>
      <c r="K236" s="318">
        <f t="shared" si="879"/>
        <v>0.2146584586535733</v>
      </c>
      <c r="L236" s="72">
        <f>AVERAGE(G236,I236,J236,K236)</f>
        <v>0.21264840063538454</v>
      </c>
      <c r="M236" s="94"/>
      <c r="N236" s="56">
        <f>AVERAGE(I236,J236,K236,L236)</f>
        <v>0.2107215248289725</v>
      </c>
      <c r="O236" s="56">
        <f>AVERAGE(J236,K236,L236,N236)</f>
        <v>0.21213397677020507</v>
      </c>
      <c r="P236" s="72">
        <f>AVERAGE(K236,L236,N236,O236)</f>
        <v>0.21254059022203386</v>
      </c>
      <c r="Q236" s="72">
        <f>AVERAGE(L236,N236,O236,P236)</f>
        <v>0.21201112311414899</v>
      </c>
      <c r="R236" s="94"/>
      <c r="S236" s="56">
        <f>AVERAGE(N236,O236,P236,Q236)</f>
        <v>0.2118518037338401</v>
      </c>
      <c r="T236" s="56">
        <f>AVERAGE(O236,P236,Q236,S236)</f>
        <v>0.21213437346005704</v>
      </c>
      <c r="U236" s="72">
        <f>AVERAGE(P236,Q236,S236,T236)</f>
        <v>0.21213447263252</v>
      </c>
      <c r="V236" s="72">
        <f>AVERAGE(Q236,S236,T236,U236)</f>
        <v>0.21203294323514155</v>
      </c>
      <c r="W236" s="94"/>
      <c r="X236" s="56">
        <f>AVERAGE(S236,T236,U236,V236)</f>
        <v>0.21203839826538967</v>
      </c>
      <c r="Y236" s="56">
        <f>AVERAGE(T236,U236,V236,X236)</f>
        <v>0.21208504689827706</v>
      </c>
      <c r="Z236" s="72">
        <f>AVERAGE(U236,V236,X236,Y236)</f>
        <v>0.21207271525783206</v>
      </c>
      <c r="AA236" s="178">
        <f>AVERAGE(V236,X236,Y236,Z236)</f>
        <v>0.21205727591416007</v>
      </c>
      <c r="AB236" s="61"/>
      <c r="AC236" s="56">
        <f>AVERAGE(X236,Y236,Z236,AA236)</f>
        <v>0.21206335908391472</v>
      </c>
      <c r="AD236" s="56">
        <f>AVERAGE(Y236,Z236,AA236,AC236)</f>
        <v>0.21206959928854596</v>
      </c>
      <c r="AE236" s="72">
        <f>AVERAGE(Z236,AA236,AC236,AD236)</f>
        <v>0.2120657373861132</v>
      </c>
      <c r="AF236" s="178">
        <f>AVERAGE(AA236,AC236,AD236,AE236)</f>
        <v>0.21206399291818351</v>
      </c>
      <c r="AG236" s="61"/>
      <c r="AH236" s="56">
        <f>AVERAGE(AC236,AD236,AE236,AF236)</f>
        <v>0.21206567216918937</v>
      </c>
      <c r="AI236" s="56">
        <f>AVERAGE(AD236,AE236,AF236,AH236)</f>
        <v>0.21206625044050803</v>
      </c>
      <c r="AJ236" s="72">
        <f>AVERAGE(AE236,AF236,AH236,AI236)</f>
        <v>0.21206541322849853</v>
      </c>
      <c r="AK236" s="178">
        <f>AVERAGE(AF236,AH236,AI236,AJ236)</f>
        <v>0.21206533218909485</v>
      </c>
      <c r="AL236" s="61"/>
    </row>
    <row r="237" spans="1:38" outlineLevel="1" x14ac:dyDescent="0.25">
      <c r="A237" s="293"/>
      <c r="B237" s="93" t="s">
        <v>73</v>
      </c>
      <c r="C237" s="291"/>
      <c r="D237" s="261"/>
      <c r="E237" s="261">
        <f>+E243/((E193+D193)/2)</f>
        <v>6.122482504846076E-2</v>
      </c>
      <c r="F237" s="364">
        <f t="shared" ref="F237:H237" si="880">+F243/((F193+E193)/2)</f>
        <v>5.8442138063667992E-2</v>
      </c>
      <c r="G237" s="364">
        <f t="shared" si="880"/>
        <v>5.7957922263164152E-2</v>
      </c>
      <c r="H237" s="365">
        <f t="shared" si="880"/>
        <v>0.2253370026587061</v>
      </c>
      <c r="I237" s="366">
        <f>+I243/((I193+G193)/2)</f>
        <v>5.75858250276855E-2</v>
      </c>
      <c r="J237" s="366">
        <f>+J243/((J193+I193)/2)</f>
        <v>5.9117695395957084E-2</v>
      </c>
      <c r="K237" s="364">
        <f>+K243/((K193+J193)/2)</f>
        <v>5.9467301657388859E-2</v>
      </c>
      <c r="L237" s="167">
        <f>AVERAGE(G237,I237,J237,K237)</f>
        <v>5.8532186086048897E-2</v>
      </c>
      <c r="M237" s="119"/>
      <c r="N237" s="168">
        <f>AVERAGE(I237,J237,K237,L237)</f>
        <v>5.8675752041770085E-2</v>
      </c>
      <c r="O237" s="168">
        <f>AVERAGE(J237,K237,L237,N237)</f>
        <v>5.8948233795291231E-2</v>
      </c>
      <c r="P237" s="167">
        <f>AVERAGE(K237,L237,N237,O237)</f>
        <v>5.8905868395124766E-2</v>
      </c>
      <c r="Q237" s="167">
        <f>AVERAGE(L237,N237,O237,P237)</f>
        <v>5.8765510079558748E-2</v>
      </c>
      <c r="R237" s="119"/>
      <c r="S237" s="168">
        <f>AVERAGE(N237,O237,P237,Q237)</f>
        <v>5.8823841077936208E-2</v>
      </c>
      <c r="T237" s="168">
        <f>AVERAGE(O237,P237,Q237,S237)</f>
        <v>5.8860863336977737E-2</v>
      </c>
      <c r="U237" s="167">
        <f>AVERAGE(P237,Q237,S237,T237)</f>
        <v>5.8839020722399361E-2</v>
      </c>
      <c r="V237" s="167">
        <f>AVERAGE(Q237,S237,T237,U237)</f>
        <v>5.8822308804218008E-2</v>
      </c>
      <c r="W237" s="119"/>
      <c r="X237" s="168">
        <f>AVERAGE(S237,T237,U237,V237)</f>
        <v>5.8836508485382827E-2</v>
      </c>
      <c r="Y237" s="168">
        <f>AVERAGE(T237,U237,V237,X237)</f>
        <v>5.8839675337244483E-2</v>
      </c>
      <c r="Z237" s="167">
        <f>AVERAGE(U237,V237,X237,Y237)</f>
        <v>5.8834378337311172E-2</v>
      </c>
      <c r="AA237" s="167">
        <f>AVERAGE(V237,X237,Y237,Z237)</f>
        <v>5.8833217741039126E-2</v>
      </c>
      <c r="AB237" s="262"/>
      <c r="AC237" s="168">
        <f>AVERAGE(X237,Y237,Z237,AA237)</f>
        <v>5.88359449752444E-2</v>
      </c>
      <c r="AD237" s="168">
        <f>AVERAGE(Y237,Z237,AA237,AC237)</f>
        <v>5.8835804097709804E-2</v>
      </c>
      <c r="AE237" s="167">
        <f>AVERAGE(Z237,AA237,AC237,AD237)</f>
        <v>5.8834836287826126E-2</v>
      </c>
      <c r="AF237" s="167">
        <f>AVERAGE(AA237,AC237,AD237,AE237)</f>
        <v>5.8834950775454864E-2</v>
      </c>
      <c r="AG237" s="262"/>
      <c r="AH237" s="168">
        <f>AVERAGE(AC237,AD237,AE237,AF237)</f>
        <v>5.8835384034058802E-2</v>
      </c>
      <c r="AI237" s="168">
        <f>AVERAGE(AD237,AE237,AF237,AH237)</f>
        <v>5.8835243798762399E-2</v>
      </c>
      <c r="AJ237" s="167">
        <f>AVERAGE(AE237,AF237,AH237,AI237)</f>
        <v>5.8835103724025548E-2</v>
      </c>
      <c r="AK237" s="167">
        <f>AVERAGE(AF237,AH237,AI237,AJ237)</f>
        <v>5.88351705830754E-2</v>
      </c>
      <c r="AL237" s="262"/>
    </row>
    <row r="238" spans="1:38" x14ac:dyDescent="0.25">
      <c r="A238" s="293"/>
      <c r="B238" s="19"/>
      <c r="C238" s="19"/>
      <c r="D238" s="13"/>
      <c r="E238" s="13"/>
      <c r="F238" s="13"/>
      <c r="G238" s="13"/>
    </row>
    <row r="239" spans="1:38" ht="15.75" x14ac:dyDescent="0.25">
      <c r="A239" s="293"/>
      <c r="B239" s="512" t="s">
        <v>122</v>
      </c>
      <c r="C239" s="513"/>
      <c r="D239" s="34" t="s">
        <v>110</v>
      </c>
      <c r="E239" s="34" t="s">
        <v>282</v>
      </c>
      <c r="F239" s="34" t="s">
        <v>284</v>
      </c>
      <c r="G239" s="34" t="s">
        <v>124</v>
      </c>
      <c r="H239" s="101" t="s">
        <v>124</v>
      </c>
      <c r="I239" s="34" t="s">
        <v>125</v>
      </c>
      <c r="J239" s="34" t="s">
        <v>126</v>
      </c>
      <c r="K239" s="34" t="s">
        <v>127</v>
      </c>
      <c r="L239" s="36" t="s">
        <v>128</v>
      </c>
      <c r="M239" s="104" t="s">
        <v>128</v>
      </c>
      <c r="N239" s="36" t="s">
        <v>129</v>
      </c>
      <c r="O239" s="36" t="s">
        <v>130</v>
      </c>
      <c r="P239" s="36" t="s">
        <v>131</v>
      </c>
      <c r="Q239" s="36" t="s">
        <v>132</v>
      </c>
      <c r="R239" s="104" t="s">
        <v>132</v>
      </c>
      <c r="S239" s="36" t="s">
        <v>133</v>
      </c>
      <c r="T239" s="36" t="s">
        <v>134</v>
      </c>
      <c r="U239" s="36" t="s">
        <v>135</v>
      </c>
      <c r="V239" s="36" t="s">
        <v>136</v>
      </c>
      <c r="W239" s="104" t="s">
        <v>136</v>
      </c>
      <c r="X239" s="36" t="s">
        <v>137</v>
      </c>
      <c r="Y239" s="36" t="s">
        <v>138</v>
      </c>
      <c r="Z239" s="36" t="s">
        <v>139</v>
      </c>
      <c r="AA239" s="36" t="s">
        <v>140</v>
      </c>
      <c r="AB239" s="104" t="s">
        <v>140</v>
      </c>
      <c r="AC239" s="36" t="s">
        <v>286</v>
      </c>
      <c r="AD239" s="36" t="s">
        <v>287</v>
      </c>
      <c r="AE239" s="36" t="s">
        <v>288</v>
      </c>
      <c r="AF239" s="36" t="s">
        <v>289</v>
      </c>
      <c r="AG239" s="104" t="s">
        <v>289</v>
      </c>
      <c r="AH239" s="36" t="s">
        <v>319</v>
      </c>
      <c r="AI239" s="36" t="s">
        <v>320</v>
      </c>
      <c r="AJ239" s="36" t="s">
        <v>321</v>
      </c>
      <c r="AK239" s="36" t="s">
        <v>322</v>
      </c>
      <c r="AL239" s="104" t="s">
        <v>322</v>
      </c>
    </row>
    <row r="240" spans="1:38" ht="17.25" x14ac:dyDescent="0.4">
      <c r="A240" s="293"/>
      <c r="B240" s="86" t="s">
        <v>3</v>
      </c>
      <c r="C240" s="106"/>
      <c r="D240" s="35" t="s">
        <v>123</v>
      </c>
      <c r="E240" s="35" t="s">
        <v>281</v>
      </c>
      <c r="F240" s="35" t="s">
        <v>285</v>
      </c>
      <c r="G240" s="35" t="s">
        <v>295</v>
      </c>
      <c r="H240" s="102" t="s">
        <v>296</v>
      </c>
      <c r="I240" s="35" t="s">
        <v>297</v>
      </c>
      <c r="J240" s="35" t="s">
        <v>298</v>
      </c>
      <c r="K240" s="35" t="s">
        <v>299</v>
      </c>
      <c r="L240" s="33" t="s">
        <v>141</v>
      </c>
      <c r="M240" s="105" t="s">
        <v>142</v>
      </c>
      <c r="N240" s="33" t="s">
        <v>143</v>
      </c>
      <c r="O240" s="33" t="s">
        <v>144</v>
      </c>
      <c r="P240" s="33" t="s">
        <v>145</v>
      </c>
      <c r="Q240" s="33" t="s">
        <v>146</v>
      </c>
      <c r="R240" s="105" t="s">
        <v>147</v>
      </c>
      <c r="S240" s="33" t="s">
        <v>148</v>
      </c>
      <c r="T240" s="33" t="s">
        <v>149</v>
      </c>
      <c r="U240" s="33" t="s">
        <v>150</v>
      </c>
      <c r="V240" s="33" t="s">
        <v>151</v>
      </c>
      <c r="W240" s="105" t="s">
        <v>152</v>
      </c>
      <c r="X240" s="33" t="s">
        <v>153</v>
      </c>
      <c r="Y240" s="33" t="s">
        <v>154</v>
      </c>
      <c r="Z240" s="33" t="s">
        <v>155</v>
      </c>
      <c r="AA240" s="33" t="s">
        <v>156</v>
      </c>
      <c r="AB240" s="105" t="s">
        <v>157</v>
      </c>
      <c r="AC240" s="33" t="s">
        <v>290</v>
      </c>
      <c r="AD240" s="33" t="s">
        <v>291</v>
      </c>
      <c r="AE240" s="33" t="s">
        <v>292</v>
      </c>
      <c r="AF240" s="33" t="s">
        <v>293</v>
      </c>
      <c r="AG240" s="105" t="s">
        <v>294</v>
      </c>
      <c r="AH240" s="33" t="s">
        <v>323</v>
      </c>
      <c r="AI240" s="33" t="s">
        <v>324</v>
      </c>
      <c r="AJ240" s="33" t="s">
        <v>325</v>
      </c>
      <c r="AK240" s="33" t="s">
        <v>326</v>
      </c>
      <c r="AL240" s="105" t="s">
        <v>327</v>
      </c>
    </row>
    <row r="241" spans="1:38" outlineLevel="1" x14ac:dyDescent="0.25">
      <c r="A241" s="293"/>
      <c r="B241" s="504" t="s">
        <v>11</v>
      </c>
      <c r="C241" s="505"/>
      <c r="D241" s="13"/>
      <c r="E241" s="13"/>
      <c r="F241" s="13"/>
      <c r="G241" s="13"/>
      <c r="H241" s="15"/>
      <c r="I241" s="13"/>
      <c r="J241" s="13"/>
      <c r="K241" s="354"/>
      <c r="L241" s="13"/>
      <c r="M241" s="15"/>
      <c r="N241" s="13"/>
      <c r="O241" s="13"/>
      <c r="P241" s="13"/>
      <c r="Q241" s="13"/>
      <c r="R241" s="15"/>
      <c r="S241" s="13"/>
      <c r="T241" s="13"/>
      <c r="U241" s="13"/>
      <c r="V241" s="13"/>
      <c r="W241" s="15"/>
      <c r="X241" s="13"/>
      <c r="Y241" s="13"/>
      <c r="Z241" s="13"/>
      <c r="AA241" s="13"/>
      <c r="AB241" s="15"/>
      <c r="AC241" s="13"/>
      <c r="AD241" s="13"/>
      <c r="AE241" s="13"/>
      <c r="AF241" s="13"/>
      <c r="AG241" s="15"/>
      <c r="AH241" s="13"/>
      <c r="AI241" s="13"/>
      <c r="AJ241" s="13"/>
      <c r="AK241" s="13"/>
      <c r="AL241" s="15"/>
    </row>
    <row r="242" spans="1:38" outlineLevel="1" x14ac:dyDescent="0.25">
      <c r="A242" s="293"/>
      <c r="B242" s="64" t="s">
        <v>233</v>
      </c>
      <c r="C242" s="161"/>
      <c r="D242" s="37">
        <f>D34</f>
        <v>760.40000000000043</v>
      </c>
      <c r="E242" s="295">
        <f>E34-0.2</f>
        <v>658.59999999999968</v>
      </c>
      <c r="F242" s="37">
        <f>F34</f>
        <v>1373.200000000001</v>
      </c>
      <c r="G242" s="37">
        <f>G34+0.2</f>
        <v>802.400000000001</v>
      </c>
      <c r="H242" s="38">
        <f t="shared" ref="H242:AL242" si="881">H34</f>
        <v>3594.6000000000054</v>
      </c>
      <c r="I242" s="37">
        <f t="shared" si="881"/>
        <v>885.29999999999882</v>
      </c>
      <c r="J242" s="37">
        <f t="shared" si="881"/>
        <v>324.79999999999905</v>
      </c>
      <c r="K242" s="37">
        <f t="shared" si="881"/>
        <v>-678.09999999999923</v>
      </c>
      <c r="L242" s="37">
        <f t="shared" si="881"/>
        <v>265.59605784050484</v>
      </c>
      <c r="M242" s="38">
        <f t="shared" si="881"/>
        <v>797.596057840507</v>
      </c>
      <c r="N242" s="37">
        <f t="shared" si="881"/>
        <v>731.95311308039948</v>
      </c>
      <c r="O242" s="37">
        <f t="shared" si="881"/>
        <v>748.95739763950417</v>
      </c>
      <c r="P242" s="37">
        <f t="shared" si="881"/>
        <v>760.80986006404271</v>
      </c>
      <c r="Q242" s="37">
        <f t="shared" si="881"/>
        <v>868.60673051515312</v>
      </c>
      <c r="R242" s="38">
        <f t="shared" si="881"/>
        <v>3110.327101299099</v>
      </c>
      <c r="S242" s="37">
        <f t="shared" si="881"/>
        <v>970.77935927206408</v>
      </c>
      <c r="T242" s="37">
        <f t="shared" si="881"/>
        <v>839.20629864747571</v>
      </c>
      <c r="U242" s="37">
        <f t="shared" si="881"/>
        <v>912.42038450355608</v>
      </c>
      <c r="V242" s="37">
        <f t="shared" si="881"/>
        <v>976.78635059613998</v>
      </c>
      <c r="W242" s="38">
        <f t="shared" si="881"/>
        <v>3699.1923930192388</v>
      </c>
      <c r="X242" s="37">
        <f t="shared" si="881"/>
        <v>1117.9198350966487</v>
      </c>
      <c r="Y242" s="37">
        <f t="shared" si="881"/>
        <v>958.89652921695142</v>
      </c>
      <c r="Z242" s="37">
        <f t="shared" si="881"/>
        <v>1028.4975040440177</v>
      </c>
      <c r="AA242" s="37">
        <f t="shared" si="881"/>
        <v>1100.655112257167</v>
      </c>
      <c r="AB242" s="38">
        <f t="shared" si="881"/>
        <v>4205.9689806147817</v>
      </c>
      <c r="AC242" s="37">
        <f t="shared" si="881"/>
        <v>1280.0037048958498</v>
      </c>
      <c r="AD242" s="37">
        <f t="shared" si="881"/>
        <v>1106.3459733674842</v>
      </c>
      <c r="AE242" s="37">
        <f t="shared" si="881"/>
        <v>1160.0447852676971</v>
      </c>
      <c r="AF242" s="37">
        <f t="shared" si="881"/>
        <v>1261.2404631404461</v>
      </c>
      <c r="AG242" s="38">
        <f t="shared" si="881"/>
        <v>4807.6349266714824</v>
      </c>
      <c r="AH242" s="37">
        <f t="shared" si="881"/>
        <v>1433.9896180763083</v>
      </c>
      <c r="AI242" s="37">
        <f t="shared" si="881"/>
        <v>1246.3271805361198</v>
      </c>
      <c r="AJ242" s="37">
        <f t="shared" si="881"/>
        <v>1306.7162699038549</v>
      </c>
      <c r="AK242" s="37">
        <f t="shared" si="881"/>
        <v>1392.7122687253636</v>
      </c>
      <c r="AL242" s="38">
        <f t="shared" si="881"/>
        <v>5379.7453372416412</v>
      </c>
    </row>
    <row r="243" spans="1:38" outlineLevel="1" x14ac:dyDescent="0.25">
      <c r="A243" s="293"/>
      <c r="B243" s="64" t="s">
        <v>71</v>
      </c>
      <c r="C243" s="161"/>
      <c r="D243" s="37">
        <v>350.8</v>
      </c>
      <c r="E243" s="37">
        <f>723.5-D243</f>
        <v>372.7</v>
      </c>
      <c r="F243" s="37">
        <f>1083.6-E243-D243</f>
        <v>360.09999999999985</v>
      </c>
      <c r="G243" s="37">
        <f>1449.3-F243-E243-D243</f>
        <v>365.7</v>
      </c>
      <c r="H243" s="38">
        <f t="shared" ref="H243:H249" si="882">SUM(D243:G243)</f>
        <v>1449.3</v>
      </c>
      <c r="I243" s="37">
        <v>369.2</v>
      </c>
      <c r="J243" s="37">
        <f>746.9-I243</f>
        <v>377.7</v>
      </c>
      <c r="K243" s="37">
        <f>1124-J243-I243</f>
        <v>377.09999999999997</v>
      </c>
      <c r="L243" s="37">
        <f>(K193*L237)</f>
        <v>368.49523072332948</v>
      </c>
      <c r="M243" s="38">
        <f t="shared" ref="M243:M249" si="883">SUM(I243:L243)</f>
        <v>1492.4952307233295</v>
      </c>
      <c r="N243" s="37">
        <f>(M193*N237)</f>
        <v>369.02844789089374</v>
      </c>
      <c r="O243" s="37">
        <f>(N193*O237)</f>
        <v>374.25854884663619</v>
      </c>
      <c r="P243" s="37">
        <f>(O193*P237)</f>
        <v>377.12360993678368</v>
      </c>
      <c r="Q243" s="37">
        <f>(P193*Q237)</f>
        <v>380.09285423508538</v>
      </c>
      <c r="R243" s="38">
        <f t="shared" ref="R243:R249" si="884">SUM(N243:Q243)</f>
        <v>1500.5034609093991</v>
      </c>
      <c r="S243" s="37">
        <f>(R193*S237)</f>
        <v>384.5065282378348</v>
      </c>
      <c r="T243" s="37">
        <f>(S193*T237)</f>
        <v>389.87099696487712</v>
      </c>
      <c r="U243" s="37">
        <f>(T193*U237)</f>
        <v>392.13616260840575</v>
      </c>
      <c r="V243" s="37">
        <f>(U193*V237)</f>
        <v>394.8971063036164</v>
      </c>
      <c r="W243" s="38">
        <f t="shared" ref="W243:W249" si="885">SUM(S243:V243)</f>
        <v>1561.410794114734</v>
      </c>
      <c r="X243" s="37">
        <f>(W193*X237)</f>
        <v>398.74986025975869</v>
      </c>
      <c r="Y243" s="37">
        <f>(X193*Y237)</f>
        <v>399.92979671174044</v>
      </c>
      <c r="Z243" s="37">
        <f>(Y193*Z237)</f>
        <v>398.83981293726663</v>
      </c>
      <c r="AA243" s="37">
        <f>(Z193*AA237)</f>
        <v>398.39572907350595</v>
      </c>
      <c r="AB243" s="38">
        <f t="shared" ref="AB243:AB249" si="886">SUM(X243:AA243)</f>
        <v>1595.9151989822715</v>
      </c>
      <c r="AC243" s="37">
        <f>(AB193*AC237)</f>
        <v>398.95940814324541</v>
      </c>
      <c r="AD243" s="37">
        <f>(AC193*AD237)</f>
        <v>401.72520321336629</v>
      </c>
      <c r="AE243" s="37">
        <f>(AD193*AE237)</f>
        <v>402.02909895288457</v>
      </c>
      <c r="AF243" s="37">
        <f>(AE193*AF237)</f>
        <v>402.9447853415578</v>
      </c>
      <c r="AG243" s="38">
        <f t="shared" ref="AG243" si="887">SUM(AC243:AF243)</f>
        <v>1605.6584956510542</v>
      </c>
      <c r="AH243" s="37">
        <f>(AG193*AH237)</f>
        <v>404.8411690473369</v>
      </c>
      <c r="AI243" s="37">
        <f>(AH193*AI237)</f>
        <v>409.06747634243635</v>
      </c>
      <c r="AJ243" s="37">
        <f>(AI193*AJ237)</f>
        <v>410.57779389691842</v>
      </c>
      <c r="AK243" s="37">
        <f>(AJ193*AK237)</f>
        <v>412.69884055506515</v>
      </c>
      <c r="AL243" s="38">
        <f t="shared" ref="AL243" si="888">SUM(AH243:AK243)</f>
        <v>1637.1852798417567</v>
      </c>
    </row>
    <row r="244" spans="1:38" outlineLevel="1" x14ac:dyDescent="0.25">
      <c r="A244" s="293"/>
      <c r="B244" s="64" t="s">
        <v>234</v>
      </c>
      <c r="C244" s="161"/>
      <c r="D244" s="37">
        <v>-354.6</v>
      </c>
      <c r="E244" s="37">
        <f>-714.5-D244</f>
        <v>-359.9</v>
      </c>
      <c r="F244" s="37">
        <f>-1243.5-E244-D244</f>
        <v>-529</v>
      </c>
      <c r="G244" s="295">
        <f>-1495.4-F244-E244-D244</f>
        <v>-251.90000000000009</v>
      </c>
      <c r="H244" s="38">
        <f>SUM(D244:G244)</f>
        <v>-1495.4</v>
      </c>
      <c r="I244" s="37">
        <v>10.4</v>
      </c>
      <c r="J244" s="37">
        <f>47.7-I244</f>
        <v>37.300000000000004</v>
      </c>
      <c r="K244" s="37">
        <f>20-J244-I244</f>
        <v>-27.700000000000003</v>
      </c>
      <c r="L244" s="37">
        <f>-(L195-K195)</f>
        <v>25.055166400376265</v>
      </c>
      <c r="M244" s="38">
        <f>SUM(I244:L244)</f>
        <v>45.055166400376265</v>
      </c>
      <c r="N244" s="37">
        <f>-(N195-L195)</f>
        <v>-70.463367615727748</v>
      </c>
      <c r="O244" s="37">
        <f>-(O195-N195)</f>
        <v>53.549754982101831</v>
      </c>
      <c r="P244" s="37">
        <f>-(P195-O195)</f>
        <v>5.6625068847347393</v>
      </c>
      <c r="Q244" s="37">
        <f>-(Q195-P195)</f>
        <v>13.203700820194626</v>
      </c>
      <c r="R244" s="38">
        <f>SUM(N244:Q244)</f>
        <v>1.952595071303449</v>
      </c>
      <c r="S244" s="37">
        <f>-(S195-Q195)</f>
        <v>-92.909097737393495</v>
      </c>
      <c r="T244" s="37">
        <f>-(T195-S195)</f>
        <v>67.994166337819706</v>
      </c>
      <c r="U244" s="37">
        <f>-(U195-T195)</f>
        <v>9.1574316432540854</v>
      </c>
      <c r="V244" s="37">
        <f>-(V195-U195)</f>
        <v>9.9225845020494035</v>
      </c>
      <c r="W244" s="38">
        <f>SUM(S244:V244)</f>
        <v>-5.8349152542702996</v>
      </c>
      <c r="X244" s="37">
        <f>-(X195-V195)</f>
        <v>-102.69593898336075</v>
      </c>
      <c r="Y244" s="37">
        <f>-(Y195-X195)</f>
        <v>75.284447809598078</v>
      </c>
      <c r="Z244" s="37">
        <f>-(Z195-Y195)</f>
        <v>9.4751715599220461</v>
      </c>
      <c r="AA244" s="37">
        <f>-(AA195-Z195)</f>
        <v>9.4380135637345575</v>
      </c>
      <c r="AB244" s="38">
        <f>SUM(X244:AA244)</f>
        <v>-8.4983060501060663</v>
      </c>
      <c r="AC244" s="37">
        <f>-(AC195-AA195)</f>
        <v>-111.77312612313131</v>
      </c>
      <c r="AD244" s="37">
        <f>-(AD195-AC195)</f>
        <v>81.372296787129244</v>
      </c>
      <c r="AE244" s="37">
        <f>-(AE195-AD195)</f>
        <v>9.6501090012479835</v>
      </c>
      <c r="AF244" s="37">
        <f>-(AF195-AE195)</f>
        <v>9.5680554352488798</v>
      </c>
      <c r="AG244" s="38">
        <f>SUM(AC244:AF244)</f>
        <v>-11.182664899505198</v>
      </c>
      <c r="AH244" s="37">
        <f>-(AH195-AF195)</f>
        <v>-121.54194663776229</v>
      </c>
      <c r="AI244" s="37">
        <f>-(AI195-AH195)</f>
        <v>87.652256704996034</v>
      </c>
      <c r="AJ244" s="37">
        <f>-(AJ195-AI195)</f>
        <v>9.8986538853296224</v>
      </c>
      <c r="AK244" s="37">
        <f>-(AK195-AJ195)</f>
        <v>9.8247388848267292</v>
      </c>
      <c r="AL244" s="38">
        <f>SUM(AH244:AK244)</f>
        <v>-14.166297162609908</v>
      </c>
    </row>
    <row r="245" spans="1:38" outlineLevel="1" x14ac:dyDescent="0.25">
      <c r="A245" s="293"/>
      <c r="B245" s="64" t="s">
        <v>235</v>
      </c>
      <c r="C245" s="161"/>
      <c r="D245" s="37">
        <v>-55</v>
      </c>
      <c r="E245" s="37">
        <f>-108.2-D245</f>
        <v>-53.2</v>
      </c>
      <c r="F245" s="37">
        <f>-174.1-E245-D245</f>
        <v>-65.899999999999991</v>
      </c>
      <c r="G245" s="295">
        <f>-250.6-F245-E245-D245</f>
        <v>-76.5</v>
      </c>
      <c r="H245" s="38">
        <f t="shared" si="882"/>
        <v>-250.6</v>
      </c>
      <c r="I245" s="37">
        <v>-62.9</v>
      </c>
      <c r="J245" s="37">
        <f>-116.3-I245</f>
        <v>-53.4</v>
      </c>
      <c r="K245" s="37">
        <f>-182.3-J245-I245</f>
        <v>-66</v>
      </c>
      <c r="L245" s="37">
        <f>-L25</f>
        <v>-75.524999999999991</v>
      </c>
      <c r="M245" s="38">
        <f t="shared" ref="M245:M248" si="889">SUM(I245:L245)</f>
        <v>-257.82499999999999</v>
      </c>
      <c r="N245" s="37">
        <f>-N25</f>
        <v>-71.431250000000006</v>
      </c>
      <c r="O245" s="37">
        <f>-O25</f>
        <v>-70.814062499999991</v>
      </c>
      <c r="P245" s="37">
        <f>-P25</f>
        <v>-71.542578124999991</v>
      </c>
      <c r="Q245" s="37">
        <f>-Q25</f>
        <v>-72.328222656249991</v>
      </c>
      <c r="R245" s="38">
        <f t="shared" ref="R245:R248" si="890">SUM(N245:Q245)</f>
        <v>-286.11611328124997</v>
      </c>
      <c r="S245" s="37">
        <f>-S25</f>
        <v>-71.529028320312491</v>
      </c>
      <c r="T245" s="37">
        <f>-T25</f>
        <v>-71.553472900390616</v>
      </c>
      <c r="U245" s="37">
        <f>-U25</f>
        <v>-71.738325500488273</v>
      </c>
      <c r="V245" s="37">
        <f>-V25</f>
        <v>-71.787262344360343</v>
      </c>
      <c r="W245" s="38">
        <f t="shared" ref="W245:W248" si="891">SUM(S245:V245)</f>
        <v>-286.60808906555172</v>
      </c>
      <c r="X245" s="37">
        <f>-X25</f>
        <v>-71.652022266387931</v>
      </c>
      <c r="Y245" s="37">
        <f>-Y25</f>
        <v>-71.682770752906791</v>
      </c>
      <c r="Z245" s="37">
        <f>-Z25</f>
        <v>-71.715095216035834</v>
      </c>
      <c r="AA245" s="37">
        <f>-AA25</f>
        <v>-71.709287644922725</v>
      </c>
      <c r="AB245" s="38">
        <f t="shared" ref="AB245:AB248" si="892">SUM(X245:AA245)</f>
        <v>-286.75917588025328</v>
      </c>
      <c r="AC245" s="37">
        <f>-AC25</f>
        <v>-71.68979397006332</v>
      </c>
      <c r="AD245" s="37">
        <f>-AD25</f>
        <v>-71.699236895982168</v>
      </c>
      <c r="AE245" s="37">
        <f>-AE25</f>
        <v>-71.703353431751012</v>
      </c>
      <c r="AF245" s="37">
        <f>-AF25</f>
        <v>-71.700417985679806</v>
      </c>
      <c r="AG245" s="38">
        <f t="shared" ref="AG245:AG249" si="893">SUM(AC245:AF245)</f>
        <v>-286.79280228347631</v>
      </c>
      <c r="AH245" s="37">
        <f>-AH25</f>
        <v>-71.698200570869076</v>
      </c>
      <c r="AI245" s="37">
        <f>-AI25</f>
        <v>-71.700302221070515</v>
      </c>
      <c r="AJ245" s="37">
        <f>-AJ25</f>
        <v>-71.700568552342602</v>
      </c>
      <c r="AK245" s="37">
        <f>-AK25</f>
        <v>-71.6998723324905</v>
      </c>
      <c r="AL245" s="38">
        <f t="shared" ref="AL245:AL249" si="894">SUM(AH245:AK245)</f>
        <v>-286.79894367677269</v>
      </c>
    </row>
    <row r="246" spans="1:38" outlineLevel="1" x14ac:dyDescent="0.25">
      <c r="A246" s="293"/>
      <c r="B246" s="64" t="s">
        <v>236</v>
      </c>
      <c r="C246" s="161"/>
      <c r="D246" s="37">
        <v>63.7</v>
      </c>
      <c r="E246" s="37">
        <f>93.3-D246</f>
        <v>29.599999999999994</v>
      </c>
      <c r="F246" s="37">
        <f>163.7-E246-D246</f>
        <v>70.399999999999991</v>
      </c>
      <c r="G246" s="295">
        <f>216.8-F246-E246-D246</f>
        <v>53.100000000000037</v>
      </c>
      <c r="H246" s="38">
        <f t="shared" si="882"/>
        <v>216.8</v>
      </c>
      <c r="I246" s="37">
        <v>64.3</v>
      </c>
      <c r="J246" s="37">
        <f>98.1-I246</f>
        <v>33.799999999999997</v>
      </c>
      <c r="K246" s="37">
        <f>165.6-J246-I246</f>
        <v>67.500000000000014</v>
      </c>
      <c r="L246" s="37">
        <f>-L290*L245</f>
        <v>75.524999999999991</v>
      </c>
      <c r="M246" s="38">
        <f t="shared" si="889"/>
        <v>241.125</v>
      </c>
      <c r="N246" s="37">
        <f>-N290*N245</f>
        <v>71.431250000000006</v>
      </c>
      <c r="O246" s="37">
        <f>-O290*O245</f>
        <v>70.814062499999991</v>
      </c>
      <c r="P246" s="37">
        <f>-P290*P245</f>
        <v>71.542578124999991</v>
      </c>
      <c r="Q246" s="37">
        <f>-Q290*Q245</f>
        <v>72.328222656249991</v>
      </c>
      <c r="R246" s="38">
        <f t="shared" si="890"/>
        <v>286.11611328124997</v>
      </c>
      <c r="S246" s="37">
        <f>-S290*S245</f>
        <v>71.529028320312491</v>
      </c>
      <c r="T246" s="37">
        <f>-T290*T245</f>
        <v>71.553472900390616</v>
      </c>
      <c r="U246" s="37">
        <f>-U290*U245</f>
        <v>71.738325500488273</v>
      </c>
      <c r="V246" s="37">
        <f>-V290*V245</f>
        <v>71.787262344360343</v>
      </c>
      <c r="W246" s="38">
        <f t="shared" si="891"/>
        <v>286.60808906555172</v>
      </c>
      <c r="X246" s="37">
        <f>-X290*X245</f>
        <v>71.652022266387931</v>
      </c>
      <c r="Y246" s="37">
        <f>-Y290*Y245</f>
        <v>71.682770752906791</v>
      </c>
      <c r="Z246" s="37">
        <f>-Z290*Z245</f>
        <v>71.715095216035834</v>
      </c>
      <c r="AA246" s="37">
        <f>-AA290*AA245</f>
        <v>71.709287644922725</v>
      </c>
      <c r="AB246" s="38">
        <f t="shared" si="892"/>
        <v>286.75917588025328</v>
      </c>
      <c r="AC246" s="37">
        <f>-AC290*AC245</f>
        <v>71.68979397006332</v>
      </c>
      <c r="AD246" s="37">
        <f>-AD290*AD245</f>
        <v>71.699236895982168</v>
      </c>
      <c r="AE246" s="37">
        <f>-AE290*AE245</f>
        <v>71.703353431751012</v>
      </c>
      <c r="AF246" s="37">
        <f>-AF290*AF245</f>
        <v>71.700417985679806</v>
      </c>
      <c r="AG246" s="38">
        <f t="shared" si="893"/>
        <v>286.79280228347631</v>
      </c>
      <c r="AH246" s="37">
        <f>-AH290*AH245</f>
        <v>71.698200570869076</v>
      </c>
      <c r="AI246" s="37">
        <f>-AI290*AI245</f>
        <v>71.700302221070515</v>
      </c>
      <c r="AJ246" s="37">
        <f>-AJ290*AJ245</f>
        <v>71.700568552342602</v>
      </c>
      <c r="AK246" s="37">
        <f>-AK290*AK245</f>
        <v>71.6998723324905</v>
      </c>
      <c r="AL246" s="38">
        <f t="shared" si="894"/>
        <v>286.79894367677269</v>
      </c>
    </row>
    <row r="247" spans="1:38" outlineLevel="1" x14ac:dyDescent="0.25">
      <c r="A247" s="293"/>
      <c r="B247" s="64" t="s">
        <v>242</v>
      </c>
      <c r="C247" s="161"/>
      <c r="D247" s="37">
        <v>0</v>
      </c>
      <c r="E247" s="37">
        <f>-21-D247</f>
        <v>-21</v>
      </c>
      <c r="F247" s="37">
        <f>-622.8-E247-D247</f>
        <v>-601.79999999999995</v>
      </c>
      <c r="G247" s="295">
        <f>-622.8-F247-E247-D247</f>
        <v>0</v>
      </c>
      <c r="H247" s="38">
        <f t="shared" si="882"/>
        <v>-622.79999999999995</v>
      </c>
      <c r="I247" s="37">
        <v>0</v>
      </c>
      <c r="J247" s="37">
        <f t="shared" ref="J247" si="895">0-I247</f>
        <v>0</v>
      </c>
      <c r="K247" s="37">
        <f t="shared" ref="K247" si="896">0-J247-I247</f>
        <v>0</v>
      </c>
      <c r="L247" s="37">
        <f>L29</f>
        <v>0</v>
      </c>
      <c r="M247" s="38">
        <f t="shared" si="889"/>
        <v>0</v>
      </c>
      <c r="N247" s="37">
        <f>N29</f>
        <v>0</v>
      </c>
      <c r="O247" s="37">
        <f>O29</f>
        <v>0</v>
      </c>
      <c r="P247" s="37">
        <f>P29</f>
        <v>0</v>
      </c>
      <c r="Q247" s="37">
        <f>Q29</f>
        <v>0</v>
      </c>
      <c r="R247" s="38">
        <f t="shared" si="890"/>
        <v>0</v>
      </c>
      <c r="S247" s="37">
        <f>S29</f>
        <v>0</v>
      </c>
      <c r="T247" s="37">
        <f>T29</f>
        <v>0</v>
      </c>
      <c r="U247" s="37">
        <f>U29</f>
        <v>0</v>
      </c>
      <c r="V247" s="37">
        <f>V29</f>
        <v>0</v>
      </c>
      <c r="W247" s="38">
        <f t="shared" si="891"/>
        <v>0</v>
      </c>
      <c r="X247" s="37">
        <f>X29</f>
        <v>0</v>
      </c>
      <c r="Y247" s="37">
        <f>Y29</f>
        <v>0</v>
      </c>
      <c r="Z247" s="37">
        <f>Z29</f>
        <v>0</v>
      </c>
      <c r="AA247" s="37">
        <f>AA29</f>
        <v>0</v>
      </c>
      <c r="AB247" s="38">
        <f t="shared" si="892"/>
        <v>0</v>
      </c>
      <c r="AC247" s="37">
        <f>AC29</f>
        <v>0</v>
      </c>
      <c r="AD247" s="37">
        <f>AD29</f>
        <v>0</v>
      </c>
      <c r="AE247" s="37">
        <f>AE29</f>
        <v>0</v>
      </c>
      <c r="AF247" s="37">
        <f>AF29</f>
        <v>0</v>
      </c>
      <c r="AG247" s="38">
        <f t="shared" si="893"/>
        <v>0</v>
      </c>
      <c r="AH247" s="37">
        <f>AH29</f>
        <v>0</v>
      </c>
      <c r="AI247" s="37">
        <f>AI29</f>
        <v>0</v>
      </c>
      <c r="AJ247" s="37">
        <f>AJ29</f>
        <v>0</v>
      </c>
      <c r="AK247" s="37">
        <f>AK29</f>
        <v>0</v>
      </c>
      <c r="AL247" s="38">
        <f t="shared" si="894"/>
        <v>0</v>
      </c>
    </row>
    <row r="248" spans="1:38" outlineLevel="1" x14ac:dyDescent="0.25">
      <c r="A248" s="293"/>
      <c r="B248" s="64" t="s">
        <v>237</v>
      </c>
      <c r="C248" s="161"/>
      <c r="D248" s="37">
        <v>97.3</v>
      </c>
      <c r="E248" s="37">
        <f>192.1-D248</f>
        <v>94.8</v>
      </c>
      <c r="F248" s="37">
        <f>255.4-E248-D248</f>
        <v>63.300000000000026</v>
      </c>
      <c r="G248" s="295">
        <f>308-F248-E248-D248</f>
        <v>52.59999999999998</v>
      </c>
      <c r="H248" s="38">
        <f t="shared" si="882"/>
        <v>308</v>
      </c>
      <c r="I248" s="37">
        <v>90.3</v>
      </c>
      <c r="J248" s="37">
        <f>146.6-I248</f>
        <v>56.3</v>
      </c>
      <c r="K248" s="37">
        <f>188-J248-I248</f>
        <v>41.399999999999991</v>
      </c>
      <c r="L248" s="37">
        <f>L17*L289</f>
        <v>59.668130299480943</v>
      </c>
      <c r="M248" s="38">
        <f t="shared" si="889"/>
        <v>247.66813029948094</v>
      </c>
      <c r="N248" s="37">
        <f>N17*N289</f>
        <v>72.758394111418468</v>
      </c>
      <c r="O248" s="37">
        <f>O17*O289</f>
        <v>66.978601320148684</v>
      </c>
      <c r="P248" s="37">
        <f>P17*P289</f>
        <v>69.616775119568487</v>
      </c>
      <c r="Q248" s="37">
        <f>Q17*Q289</f>
        <v>72.688150743909759</v>
      </c>
      <c r="R248" s="38">
        <f t="shared" si="890"/>
        <v>282.04192129504543</v>
      </c>
      <c r="S248" s="37">
        <f>S17*S289</f>
        <v>79.491571595355168</v>
      </c>
      <c r="T248" s="37">
        <f>T17*T289</f>
        <v>72.006242449441459</v>
      </c>
      <c r="U248" s="37">
        <f>U17*U289</f>
        <v>73.942430681668426</v>
      </c>
      <c r="V248" s="37">
        <f>V17*V289</f>
        <v>76.998059179673135</v>
      </c>
      <c r="W248" s="38">
        <f t="shared" si="891"/>
        <v>302.43830390613817</v>
      </c>
      <c r="X248" s="37">
        <f>X17*X289</f>
        <v>84.261569032403031</v>
      </c>
      <c r="Y248" s="37">
        <f>Y17*Y289</f>
        <v>76.838583467580975</v>
      </c>
      <c r="Z248" s="37">
        <f>Z17*Z289</f>
        <v>78.787888483073189</v>
      </c>
      <c r="AA248" s="37">
        <f>AA17*AA289</f>
        <v>82.062819014530191</v>
      </c>
      <c r="AB248" s="38">
        <f t="shared" si="892"/>
        <v>321.95085999758737</v>
      </c>
      <c r="AC248" s="37">
        <f>AC17*AC289</f>
        <v>89.765162225467378</v>
      </c>
      <c r="AD248" s="37">
        <f>AD17*AD289</f>
        <v>81.909280073069866</v>
      </c>
      <c r="AE248" s="37">
        <f>AE17*AE289</f>
        <v>84.049316728338496</v>
      </c>
      <c r="AF248" s="37">
        <f>AF17*AF289</f>
        <v>87.580339671941189</v>
      </c>
      <c r="AG248" s="38">
        <f t="shared" si="893"/>
        <v>343.30409869881697</v>
      </c>
      <c r="AH248" s="37">
        <f>AH17*AH289</f>
        <v>95.943166574364469</v>
      </c>
      <c r="AI248" s="37">
        <f>AI17*AI289</f>
        <v>87.502178353135463</v>
      </c>
      <c r="AJ248" s="37">
        <f>AJ17*AJ289</f>
        <v>89.892479953895176</v>
      </c>
      <c r="AK248" s="37">
        <f>AK17*AK289</f>
        <v>93.701789488141983</v>
      </c>
      <c r="AL248" s="38">
        <f t="shared" si="894"/>
        <v>367.03961436953711</v>
      </c>
    </row>
    <row r="249" spans="1:38" outlineLevel="1" x14ac:dyDescent="0.25">
      <c r="A249" s="293"/>
      <c r="B249" s="164" t="s">
        <v>243</v>
      </c>
      <c r="C249" s="165"/>
      <c r="D249" s="37">
        <v>6.1</v>
      </c>
      <c r="E249" s="295">
        <f>5.4+91.1-D249</f>
        <v>90.4</v>
      </c>
      <c r="F249" s="295">
        <f>10.5+122.3-E249-D249</f>
        <v>36.300000000000004</v>
      </c>
      <c r="G249" s="295">
        <f>10.5+187.9-F249-E249-D249</f>
        <v>65.599999999999994</v>
      </c>
      <c r="H249" s="38">
        <f t="shared" si="882"/>
        <v>198.4</v>
      </c>
      <c r="I249" s="295">
        <f>5.1+294.9</f>
        <v>300</v>
      </c>
      <c r="J249" s="295">
        <f>596.3+67.7-I249</f>
        <v>364</v>
      </c>
      <c r="K249" s="295">
        <f>902.4+124.6+63.7-J249-I249</f>
        <v>426.70000000000005</v>
      </c>
      <c r="L249" s="70">
        <v>0</v>
      </c>
      <c r="M249" s="38">
        <f t="shared" si="883"/>
        <v>1090.7</v>
      </c>
      <c r="N249" s="70">
        <v>0</v>
      </c>
      <c r="O249" s="70">
        <v>0</v>
      </c>
      <c r="P249" s="70">
        <v>0</v>
      </c>
      <c r="Q249" s="70">
        <v>0</v>
      </c>
      <c r="R249" s="38">
        <f t="shared" si="884"/>
        <v>0</v>
      </c>
      <c r="S249" s="70">
        <v>0</v>
      </c>
      <c r="T249" s="70">
        <v>0</v>
      </c>
      <c r="U249" s="70">
        <v>0</v>
      </c>
      <c r="V249" s="70">
        <v>0</v>
      </c>
      <c r="W249" s="38">
        <f t="shared" si="885"/>
        <v>0</v>
      </c>
      <c r="X249" s="70">
        <v>0</v>
      </c>
      <c r="Y249" s="70">
        <v>0</v>
      </c>
      <c r="Z249" s="70">
        <v>0</v>
      </c>
      <c r="AA249" s="70">
        <v>0</v>
      </c>
      <c r="AB249" s="38">
        <f t="shared" si="886"/>
        <v>0</v>
      </c>
      <c r="AC249" s="70">
        <v>0</v>
      </c>
      <c r="AD249" s="70">
        <v>0</v>
      </c>
      <c r="AE249" s="70">
        <v>0</v>
      </c>
      <c r="AF249" s="70">
        <v>0</v>
      </c>
      <c r="AG249" s="38">
        <f t="shared" si="893"/>
        <v>0</v>
      </c>
      <c r="AH249" s="70">
        <v>0</v>
      </c>
      <c r="AI249" s="70">
        <v>0</v>
      </c>
      <c r="AJ249" s="70">
        <v>0</v>
      </c>
      <c r="AK249" s="70">
        <v>0</v>
      </c>
      <c r="AL249" s="38">
        <f t="shared" si="894"/>
        <v>0</v>
      </c>
    </row>
    <row r="250" spans="1:38" outlineLevel="1" x14ac:dyDescent="0.25">
      <c r="A250" s="293"/>
      <c r="B250" s="500" t="s">
        <v>72</v>
      </c>
      <c r="C250" s="501"/>
      <c r="D250" s="277"/>
      <c r="E250" s="430"/>
      <c r="F250" s="272"/>
      <c r="G250" s="272"/>
      <c r="H250" s="273"/>
      <c r="I250" s="272"/>
      <c r="J250" s="272"/>
      <c r="K250" s="272"/>
      <c r="L250" s="272"/>
      <c r="M250" s="273"/>
      <c r="N250" s="272"/>
      <c r="O250" s="272"/>
      <c r="P250" s="272"/>
      <c r="Q250" s="272"/>
      <c r="R250" s="273"/>
      <c r="S250" s="272"/>
      <c r="T250" s="272"/>
      <c r="U250" s="272"/>
      <c r="V250" s="272"/>
      <c r="W250" s="273"/>
      <c r="X250" s="272"/>
      <c r="Y250" s="272"/>
      <c r="Z250" s="272"/>
      <c r="AA250" s="272"/>
      <c r="AB250" s="273"/>
      <c r="AC250" s="272"/>
      <c r="AD250" s="272"/>
      <c r="AE250" s="272"/>
      <c r="AF250" s="272"/>
      <c r="AG250" s="273"/>
      <c r="AH250" s="272"/>
      <c r="AI250" s="272"/>
      <c r="AJ250" s="272"/>
      <c r="AK250" s="272"/>
      <c r="AL250" s="273"/>
    </row>
    <row r="251" spans="1:38" outlineLevel="1" x14ac:dyDescent="0.25">
      <c r="A251" s="293"/>
      <c r="B251" s="514" t="s">
        <v>112</v>
      </c>
      <c r="C251" s="515"/>
      <c r="D251" s="97">
        <v>-28.8</v>
      </c>
      <c r="E251" s="97">
        <f>9.8-D251</f>
        <v>38.6</v>
      </c>
      <c r="F251" s="97">
        <f>-70.1-E251-D251</f>
        <v>-79.899999999999991</v>
      </c>
      <c r="G251" s="97">
        <f>-197.7-F251-E251-D251</f>
        <v>-127.60000000000001</v>
      </c>
      <c r="H251" s="98">
        <f t="shared" ref="H251:H256" si="897">SUM(D251:G251)</f>
        <v>-197.7</v>
      </c>
      <c r="I251" s="97">
        <v>-22.9</v>
      </c>
      <c r="J251" s="97">
        <f>-60.7-I251</f>
        <v>-37.800000000000004</v>
      </c>
      <c r="K251" s="97">
        <f>13.4-J251-I251</f>
        <v>74.099999999999994</v>
      </c>
      <c r="L251" s="97">
        <f>-(L187-K187)</f>
        <v>-10.324781346786267</v>
      </c>
      <c r="M251" s="98">
        <f t="shared" ref="M251:M256" si="898">SUM(I251:L251)</f>
        <v>3.0752186532137245</v>
      </c>
      <c r="N251" s="97">
        <f>-(N187-L187)</f>
        <v>-35.849154357840348</v>
      </c>
      <c r="O251" s="97">
        <f t="shared" ref="O251:Q253" si="899">-(O187-N187)</f>
        <v>8.0595060815275019</v>
      </c>
      <c r="P251" s="97">
        <f t="shared" si="899"/>
        <v>36.138098609717304</v>
      </c>
      <c r="Q251" s="97">
        <f t="shared" si="899"/>
        <v>-51.541119066434135</v>
      </c>
      <c r="R251" s="98">
        <f t="shared" ref="R251:R256" si="900">SUM(N251:Q251)</f>
        <v>-43.192668733029677</v>
      </c>
      <c r="S251" s="97">
        <f>-(S187-Q187)</f>
        <v>-113.234276974723</v>
      </c>
      <c r="T251" s="97">
        <f t="shared" ref="T251:V253" si="901">-(T187-S187)</f>
        <v>72.59542127507973</v>
      </c>
      <c r="U251" s="97">
        <f t="shared" si="901"/>
        <v>40.827001576694784</v>
      </c>
      <c r="V251" s="97">
        <f t="shared" si="901"/>
        <v>-56.318387285894005</v>
      </c>
      <c r="W251" s="98">
        <f t="shared" ref="W251:W256" si="902">SUM(S251:V251)</f>
        <v>-56.130241408842494</v>
      </c>
      <c r="X251" s="97">
        <f>-(X187-V187)</f>
        <v>-125.08832829520986</v>
      </c>
      <c r="Y251" s="97">
        <f t="shared" ref="Y251:AA253" si="903">-(Y187-X187)</f>
        <v>78.122504556927879</v>
      </c>
      <c r="Z251" s="97">
        <f t="shared" si="903"/>
        <v>42.374742723526992</v>
      </c>
      <c r="AA251" s="97">
        <f t="shared" si="903"/>
        <v>-61.138344032953341</v>
      </c>
      <c r="AB251" s="98">
        <f t="shared" ref="AB251:AB256" si="904">SUM(X251:AA251)</f>
        <v>-65.729425047708332</v>
      </c>
      <c r="AC251" s="97">
        <f>-(AC187-AA187)</f>
        <v>-132.81447287094306</v>
      </c>
      <c r="AD251" s="97">
        <f t="shared" ref="AD251:AF253" si="905">-(AD187-AC187)</f>
        <v>83.702073977007785</v>
      </c>
      <c r="AE251" s="97">
        <f t="shared" si="905"/>
        <v>43.744629912764594</v>
      </c>
      <c r="AF251" s="97">
        <f t="shared" si="905"/>
        <v>-65.806577046198299</v>
      </c>
      <c r="AG251" s="98">
        <f t="shared" ref="AG251:AG256" si="906">SUM(AC251:AF251)</f>
        <v>-71.174346027368983</v>
      </c>
      <c r="AH251" s="97">
        <f>-(AH187-AF187)</f>
        <v>-143.52315908335549</v>
      </c>
      <c r="AI251" s="97">
        <f t="shared" ref="AI251:AK253" si="907">-(AI187-AH187)</f>
        <v>90.200105156791324</v>
      </c>
      <c r="AJ251" s="97">
        <f t="shared" si="907"/>
        <v>45.282329463723499</v>
      </c>
      <c r="AK251" s="97">
        <f t="shared" si="907"/>
        <v>-70.802097929881484</v>
      </c>
      <c r="AL251" s="98">
        <f t="shared" ref="AL251:AL256" si="908">SUM(AH251:AK251)</f>
        <v>-78.842822392722155</v>
      </c>
    </row>
    <row r="252" spans="1:38" outlineLevel="1" x14ac:dyDescent="0.25">
      <c r="A252" s="293"/>
      <c r="B252" s="57" t="s">
        <v>223</v>
      </c>
      <c r="C252" s="51"/>
      <c r="D252" s="97">
        <v>44.8</v>
      </c>
      <c r="E252" s="97">
        <f>-51-D252</f>
        <v>-95.8</v>
      </c>
      <c r="F252" s="97">
        <f>-140.5-E252-D252</f>
        <v>-89.5</v>
      </c>
      <c r="G252" s="97">
        <f>-173-F252-E252-D252</f>
        <v>-32.5</v>
      </c>
      <c r="H252" s="98">
        <f t="shared" si="897"/>
        <v>-173</v>
      </c>
      <c r="I252" s="97">
        <v>122.8</v>
      </c>
      <c r="J252" s="97">
        <f>36.9-I252</f>
        <v>-85.9</v>
      </c>
      <c r="K252" s="97">
        <f>-51.7-J252-I252</f>
        <v>-88.6</v>
      </c>
      <c r="L252" s="97">
        <f>-(L188-K188)</f>
        <v>-23.3163698999399</v>
      </c>
      <c r="M252" s="98">
        <f t="shared" si="898"/>
        <v>-75.016369899939903</v>
      </c>
      <c r="N252" s="97">
        <f>-(N188-L188)</f>
        <v>41.866462011897056</v>
      </c>
      <c r="O252" s="97">
        <f t="shared" si="899"/>
        <v>-42.083596308444157</v>
      </c>
      <c r="P252" s="97">
        <f t="shared" si="899"/>
        <v>-32.556817424300334</v>
      </c>
      <c r="Q252" s="97">
        <f t="shared" si="899"/>
        <v>-86.08740708534242</v>
      </c>
      <c r="R252" s="98">
        <f t="shared" si="900"/>
        <v>-118.86135880618986</v>
      </c>
      <c r="S252" s="97">
        <f>-(S188-Q188)</f>
        <v>-3.3095651669764266</v>
      </c>
      <c r="T252" s="97">
        <f t="shared" si="901"/>
        <v>22.955699464434701</v>
      </c>
      <c r="U252" s="97">
        <f t="shared" si="901"/>
        <v>-0.84715178016449499</v>
      </c>
      <c r="V252" s="97">
        <f t="shared" si="901"/>
        <v>-112.52880642530386</v>
      </c>
      <c r="W252" s="98">
        <f t="shared" si="902"/>
        <v>-93.729823908010076</v>
      </c>
      <c r="X252" s="97">
        <f>-(X188-V188)</f>
        <v>-3.3704837371758458</v>
      </c>
      <c r="Y252" s="97">
        <f t="shared" si="903"/>
        <v>19.087487741516725</v>
      </c>
      <c r="Z252" s="97">
        <f t="shared" si="903"/>
        <v>-7.3169420278361486</v>
      </c>
      <c r="AA252" s="97">
        <f t="shared" si="903"/>
        <v>-120.91402004831343</v>
      </c>
      <c r="AB252" s="98">
        <f t="shared" si="904"/>
        <v>-112.5139580718087</v>
      </c>
      <c r="AC252" s="97">
        <f>-(AC188-AA188)</f>
        <v>2.1714423119519779</v>
      </c>
      <c r="AD252" s="97">
        <f t="shared" si="905"/>
        <v>21.754057015276885</v>
      </c>
      <c r="AE252" s="97">
        <f t="shared" si="905"/>
        <v>-17.361890071466405</v>
      </c>
      <c r="AF252" s="97">
        <f t="shared" si="905"/>
        <v>-121.51358222989916</v>
      </c>
      <c r="AG252" s="98">
        <f t="shared" si="906"/>
        <v>-114.9499729741367</v>
      </c>
      <c r="AH252" s="97">
        <f>-(AH188-AF188)</f>
        <v>-8.817730082258322</v>
      </c>
      <c r="AI252" s="97">
        <f t="shared" si="907"/>
        <v>24.720791038497055</v>
      </c>
      <c r="AJ252" s="97">
        <f t="shared" si="907"/>
        <v>-21.289171528988163</v>
      </c>
      <c r="AK252" s="97">
        <f t="shared" si="907"/>
        <v>-138.97532216014224</v>
      </c>
      <c r="AL252" s="98">
        <f t="shared" si="908"/>
        <v>-144.36143273289167</v>
      </c>
    </row>
    <row r="253" spans="1:38" outlineLevel="1" x14ac:dyDescent="0.25">
      <c r="A253" s="293"/>
      <c r="B253" s="514" t="s">
        <v>246</v>
      </c>
      <c r="C253" s="515"/>
      <c r="D253" s="97">
        <v>847.3</v>
      </c>
      <c r="E253" s="97">
        <f>774.6-D253</f>
        <v>-72.699999999999932</v>
      </c>
      <c r="F253" s="97">
        <f>831.6-E253-D253</f>
        <v>57</v>
      </c>
      <c r="G253" s="97">
        <f>922-F253-E253-D253</f>
        <v>90.399999999999977</v>
      </c>
      <c r="H253" s="98">
        <f t="shared" si="897"/>
        <v>922</v>
      </c>
      <c r="I253" s="97">
        <v>-28.5</v>
      </c>
      <c r="J253" s="97">
        <f>-247.7-I253</f>
        <v>-219.2</v>
      </c>
      <c r="K253" s="97">
        <f>-492.1-J253-I253</f>
        <v>-244.40000000000003</v>
      </c>
      <c r="L253" s="97">
        <f>-(L189-K189)</f>
        <v>138.04499999999996</v>
      </c>
      <c r="M253" s="98">
        <f t="shared" si="898"/>
        <v>-354.05500000000006</v>
      </c>
      <c r="N253" s="97">
        <f>-(N189-L189)</f>
        <v>78.225500000000011</v>
      </c>
      <c r="O253" s="97">
        <f t="shared" si="899"/>
        <v>35.201475000000073</v>
      </c>
      <c r="P253" s="97">
        <f t="shared" si="899"/>
        <v>33.441401250000013</v>
      </c>
      <c r="Q253" s="97">
        <f t="shared" si="899"/>
        <v>31.769331187500029</v>
      </c>
      <c r="R253" s="98">
        <f t="shared" si="900"/>
        <v>178.63770743750013</v>
      </c>
      <c r="S253" s="97">
        <f>-(S189-Q189)</f>
        <v>-12.07234585125002</v>
      </c>
      <c r="T253" s="97">
        <f t="shared" si="901"/>
        <v>-12.313792768274993</v>
      </c>
      <c r="U253" s="97">
        <f t="shared" si="901"/>
        <v>-12.560068623640518</v>
      </c>
      <c r="V253" s="97">
        <f t="shared" si="901"/>
        <v>-12.81126999611331</v>
      </c>
      <c r="W253" s="98">
        <f t="shared" si="902"/>
        <v>-49.757477239278842</v>
      </c>
      <c r="X253" s="97">
        <f>-(X189-V189)</f>
        <v>-13.067495396035611</v>
      </c>
      <c r="Y253" s="97">
        <f t="shared" si="903"/>
        <v>-13.328845303956314</v>
      </c>
      <c r="Z253" s="97">
        <f t="shared" si="903"/>
        <v>-13.595422210035395</v>
      </c>
      <c r="AA253" s="97">
        <f t="shared" si="903"/>
        <v>-13.867330654236184</v>
      </c>
      <c r="AB253" s="98">
        <f t="shared" si="904"/>
        <v>-53.859093564263503</v>
      </c>
      <c r="AC253" s="97">
        <f>-(AC189-AA189)</f>
        <v>-14.144677267320844</v>
      </c>
      <c r="AD253" s="97">
        <f t="shared" si="905"/>
        <v>-14.427570812667227</v>
      </c>
      <c r="AE253" s="97">
        <f t="shared" si="905"/>
        <v>-14.716122228920653</v>
      </c>
      <c r="AF253" s="97">
        <f t="shared" si="905"/>
        <v>-15.010444673499023</v>
      </c>
      <c r="AG253" s="98">
        <f t="shared" si="906"/>
        <v>-58.298814982407748</v>
      </c>
      <c r="AH253" s="97">
        <f>-(AH189-AF189)</f>
        <v>-15.310653566968995</v>
      </c>
      <c r="AI253" s="97">
        <f t="shared" si="907"/>
        <v>-15.616866638308352</v>
      </c>
      <c r="AJ253" s="97">
        <f t="shared" si="907"/>
        <v>-15.929203971074571</v>
      </c>
      <c r="AK253" s="97">
        <f t="shared" si="907"/>
        <v>-16.247788050496069</v>
      </c>
      <c r="AL253" s="98">
        <f t="shared" si="908"/>
        <v>-63.104512226847987</v>
      </c>
    </row>
    <row r="254" spans="1:38" outlineLevel="1" x14ac:dyDescent="0.25">
      <c r="A254" s="293"/>
      <c r="B254" s="514" t="s">
        <v>38</v>
      </c>
      <c r="C254" s="515"/>
      <c r="D254" s="97">
        <v>-21.3</v>
      </c>
      <c r="E254" s="97">
        <f>-83.4-D254</f>
        <v>-62.100000000000009</v>
      </c>
      <c r="F254" s="97">
        <f>-15.1-E254-D254</f>
        <v>68.300000000000011</v>
      </c>
      <c r="G254" s="97">
        <f>31.9-F254-E254-D254</f>
        <v>47</v>
      </c>
      <c r="H254" s="98">
        <f t="shared" si="897"/>
        <v>31.900000000000006</v>
      </c>
      <c r="I254" s="97">
        <v>-110.3</v>
      </c>
      <c r="J254" s="97">
        <f>-186.4-I254</f>
        <v>-76.100000000000009</v>
      </c>
      <c r="K254" s="97">
        <f>-320.3-J254-I254</f>
        <v>-133.89999999999998</v>
      </c>
      <c r="L254" s="97">
        <f>L201-K201</f>
        <v>211.6935271762361</v>
      </c>
      <c r="M254" s="98">
        <f t="shared" si="898"/>
        <v>-108.60647282376385</v>
      </c>
      <c r="N254" s="97">
        <f>N201-L201</f>
        <v>-25.683849983842492</v>
      </c>
      <c r="O254" s="97">
        <f>O201-N201</f>
        <v>-94.568598583135099</v>
      </c>
      <c r="P254" s="97">
        <f>P201-O201</f>
        <v>-28.925583150726197</v>
      </c>
      <c r="Q254" s="97">
        <f>Q201-P201</f>
        <v>103.82134325902916</v>
      </c>
      <c r="R254" s="98">
        <f t="shared" si="900"/>
        <v>-45.356688458674626</v>
      </c>
      <c r="S254" s="97">
        <f>S201-Q201</f>
        <v>35.379695941672253</v>
      </c>
      <c r="T254" s="97">
        <f>T201-S201</f>
        <v>-95.858730228452146</v>
      </c>
      <c r="U254" s="97">
        <f>U201-T201</f>
        <v>-65.704238360235081</v>
      </c>
      <c r="V254" s="97">
        <f>V201-U201</f>
        <v>169.77335045689779</v>
      </c>
      <c r="W254" s="98">
        <f t="shared" si="902"/>
        <v>43.590077809882814</v>
      </c>
      <c r="X254" s="97">
        <f>X201-V201</f>
        <v>4.2056437652788645</v>
      </c>
      <c r="Y254" s="97">
        <f>Y201-X201</f>
        <v>-92.305634400300505</v>
      </c>
      <c r="Z254" s="97">
        <f>Z201-Y201</f>
        <v>-40.337427641292152</v>
      </c>
      <c r="AA254" s="97">
        <f>AA201-Z201</f>
        <v>159.6254566177081</v>
      </c>
      <c r="AB254" s="98">
        <f t="shared" si="904"/>
        <v>31.188038341394304</v>
      </c>
      <c r="AC254" s="97">
        <f>AC201-AA201</f>
        <v>3.7494741693938067</v>
      </c>
      <c r="AD254" s="97">
        <f>AD201-AC201</f>
        <v>-96.290575534469326</v>
      </c>
      <c r="AE254" s="97">
        <f>AE201-AD201</f>
        <v>-47.88162029030741</v>
      </c>
      <c r="AF254" s="97">
        <f>AF201-AE201</f>
        <v>172.19860893253713</v>
      </c>
      <c r="AG254" s="98">
        <f t="shared" si="906"/>
        <v>31.775887277154197</v>
      </c>
      <c r="AH254" s="97">
        <f>AH201-AF201</f>
        <v>7.4886515202645114</v>
      </c>
      <c r="AI254" s="97">
        <f>AI201-AH201</f>
        <v>-102.59537494124675</v>
      </c>
      <c r="AJ254" s="97">
        <f>AJ201-AI201</f>
        <v>-41.636962402668246</v>
      </c>
      <c r="AK254" s="97">
        <f>AK201-AJ201</f>
        <v>176.55128033498647</v>
      </c>
      <c r="AL254" s="98">
        <f t="shared" si="908"/>
        <v>39.807594511335992</v>
      </c>
    </row>
    <row r="255" spans="1:38" outlineLevel="1" x14ac:dyDescent="0.25">
      <c r="A255" s="293"/>
      <c r="B255" s="57" t="s">
        <v>228</v>
      </c>
      <c r="C255" s="51"/>
      <c r="D255" s="97">
        <v>362.7</v>
      </c>
      <c r="E255" s="97">
        <f>9.4-D255</f>
        <v>-353.3</v>
      </c>
      <c r="F255" s="97">
        <f>-32.4-E255-D255</f>
        <v>-41.799999999999955</v>
      </c>
      <c r="G255" s="97">
        <f>-30.5-F255-E255-D255</f>
        <v>1.8999999999999773</v>
      </c>
      <c r="H255" s="98">
        <f t="shared" si="897"/>
        <v>-30.5</v>
      </c>
      <c r="I255" s="97">
        <v>426.7</v>
      </c>
      <c r="J255" s="97">
        <f>112.1-I255</f>
        <v>-314.60000000000002</v>
      </c>
      <c r="K255" s="97">
        <f>92-J255-I255</f>
        <v>-20.099999999999966</v>
      </c>
      <c r="L255" s="97">
        <f>+(L206-K206)</f>
        <v>-14.633000000000038</v>
      </c>
      <c r="M255" s="98">
        <f t="shared" si="898"/>
        <v>77.366999999999962</v>
      </c>
      <c r="N255" s="97">
        <f>+(N206-L206)</f>
        <v>434.60010000000011</v>
      </c>
      <c r="O255" s="97">
        <f>+(O206-N206)</f>
        <v>-282.49006499999996</v>
      </c>
      <c r="P255" s="97">
        <f>+(P206-O206)</f>
        <v>-16.007770350000101</v>
      </c>
      <c r="Q255" s="97">
        <f>+(Q206-P206)</f>
        <v>-15.847692646500036</v>
      </c>
      <c r="R255" s="98">
        <f t="shared" si="900"/>
        <v>120.25457200350002</v>
      </c>
      <c r="S255" s="97">
        <f>+(S206-Q206)</f>
        <v>470.67647160105003</v>
      </c>
      <c r="T255" s="97">
        <f>+(T206-S206)</f>
        <v>-305.93970654068244</v>
      </c>
      <c r="U255" s="97">
        <f>+(U206-T206)</f>
        <v>-17.336583370638664</v>
      </c>
      <c r="V255" s="97">
        <f>+(V206-U206)</f>
        <v>-17.163217536932279</v>
      </c>
      <c r="W255" s="98">
        <f t="shared" si="902"/>
        <v>130.23696415279665</v>
      </c>
      <c r="X255" s="97">
        <f>+(X206-V206)</f>
        <v>509.74756084688897</v>
      </c>
      <c r="Y255" s="97">
        <f>+(Y206-X206)</f>
        <v>-331.33591455047781</v>
      </c>
      <c r="Z255" s="97">
        <f>+(Z206-Y206)</f>
        <v>-18.775701824527005</v>
      </c>
      <c r="AA255" s="97">
        <f>+(AA206-Z206)</f>
        <v>-18.587944806281712</v>
      </c>
      <c r="AB255" s="98">
        <f t="shared" si="904"/>
        <v>141.04799966560245</v>
      </c>
      <c r="AC255" s="97">
        <f>+(AC206-AA206)</f>
        <v>552.06196074656987</v>
      </c>
      <c r="AD255" s="97">
        <f>+(AD206-AC206)</f>
        <v>-358.84027448527036</v>
      </c>
      <c r="AE255" s="97">
        <f>+(AE206-AD206)</f>
        <v>-20.334282220831938</v>
      </c>
      <c r="AF255" s="97">
        <f>+(AF206-AE206)</f>
        <v>-20.130939398623696</v>
      </c>
      <c r="AG255" s="98">
        <f t="shared" si="906"/>
        <v>152.75646464184388</v>
      </c>
      <c r="AH255" s="97">
        <f>+(AH206-AF206)</f>
        <v>597.88890013912305</v>
      </c>
      <c r="AI255" s="97">
        <f>+(AI206-AH206)</f>
        <v>-388.62778509042982</v>
      </c>
      <c r="AJ255" s="97">
        <f>+(AJ206-AI206)</f>
        <v>-22.022241155124448</v>
      </c>
      <c r="AK255" s="97">
        <f>+(AK206-AJ206)</f>
        <v>-21.802018743573171</v>
      </c>
      <c r="AL255" s="98">
        <f t="shared" si="908"/>
        <v>165.43685514999561</v>
      </c>
    </row>
    <row r="256" spans="1:38" outlineLevel="1" x14ac:dyDescent="0.25">
      <c r="A256" s="293"/>
      <c r="B256" s="339" t="s">
        <v>306</v>
      </c>
      <c r="C256" s="340"/>
      <c r="D256" s="97">
        <v>0</v>
      </c>
      <c r="E256" s="97">
        <v>0</v>
      </c>
      <c r="F256" s="97">
        <f>1045.4-E256-D256</f>
        <v>1045.4000000000001</v>
      </c>
      <c r="G256" s="97">
        <f>1237-F256-E256-D256</f>
        <v>191.59999999999991</v>
      </c>
      <c r="H256" s="98">
        <f t="shared" si="897"/>
        <v>1237</v>
      </c>
      <c r="I256" s="97">
        <v>125.1</v>
      </c>
      <c r="J256" s="97">
        <f>-1227.4-I256</f>
        <v>-1352.5</v>
      </c>
      <c r="K256" s="97">
        <f>-1224.5-J256-I256</f>
        <v>2.9000000000000057</v>
      </c>
      <c r="L256" s="97">
        <f>+(L204-K204)</f>
        <v>0</v>
      </c>
      <c r="M256" s="98">
        <f t="shared" si="898"/>
        <v>-1224.5</v>
      </c>
      <c r="N256" s="97">
        <f>+(N204-L204)</f>
        <v>0</v>
      </c>
      <c r="O256" s="97">
        <f t="shared" ref="O256:Q256" si="909">+(O204-N204)</f>
        <v>0</v>
      </c>
      <c r="P256" s="97">
        <f t="shared" si="909"/>
        <v>0</v>
      </c>
      <c r="Q256" s="97">
        <f t="shared" si="909"/>
        <v>0</v>
      </c>
      <c r="R256" s="98">
        <f t="shared" si="900"/>
        <v>0</v>
      </c>
      <c r="S256" s="97">
        <f>+(S204-Q204)</f>
        <v>0</v>
      </c>
      <c r="T256" s="97">
        <f t="shared" ref="T256:V256" si="910">+(T204-S204)</f>
        <v>0</v>
      </c>
      <c r="U256" s="97">
        <f t="shared" si="910"/>
        <v>0</v>
      </c>
      <c r="V256" s="97">
        <f t="shared" si="910"/>
        <v>0</v>
      </c>
      <c r="W256" s="98">
        <f t="shared" si="902"/>
        <v>0</v>
      </c>
      <c r="X256" s="97">
        <f>+(X204-V204)</f>
        <v>0</v>
      </c>
      <c r="Y256" s="97">
        <f t="shared" ref="Y256:AA256" si="911">+(Y204-X204)</f>
        <v>0</v>
      </c>
      <c r="Z256" s="97">
        <f t="shared" si="911"/>
        <v>0</v>
      </c>
      <c r="AA256" s="97">
        <f t="shared" si="911"/>
        <v>0</v>
      </c>
      <c r="AB256" s="98">
        <f t="shared" si="904"/>
        <v>0</v>
      </c>
      <c r="AC256" s="97">
        <f>+(AC204-AA204)</f>
        <v>0</v>
      </c>
      <c r="AD256" s="97">
        <f t="shared" ref="AD256:AF256" si="912">+(AD204-AC204)</f>
        <v>0</v>
      </c>
      <c r="AE256" s="97">
        <f t="shared" si="912"/>
        <v>0</v>
      </c>
      <c r="AF256" s="97">
        <f t="shared" si="912"/>
        <v>0</v>
      </c>
      <c r="AG256" s="98">
        <f t="shared" si="906"/>
        <v>0</v>
      </c>
      <c r="AH256" s="97">
        <f>+(AH204-AF204)</f>
        <v>0</v>
      </c>
      <c r="AI256" s="97">
        <f t="shared" ref="AI256:AK256" si="913">+(AI204-AH204)</f>
        <v>0</v>
      </c>
      <c r="AJ256" s="97">
        <f t="shared" si="913"/>
        <v>0</v>
      </c>
      <c r="AK256" s="97">
        <f t="shared" si="913"/>
        <v>0</v>
      </c>
      <c r="AL256" s="98">
        <f t="shared" si="908"/>
        <v>0</v>
      </c>
    </row>
    <row r="257" spans="1:38" ht="17.25" outlineLevel="1" x14ac:dyDescent="0.4">
      <c r="A257" s="293"/>
      <c r="B257" s="514" t="s">
        <v>244</v>
      </c>
      <c r="C257" s="515"/>
      <c r="D257" s="274">
        <v>305.60000000000002</v>
      </c>
      <c r="E257" s="274">
        <f>429.3-D257</f>
        <v>123.69999999999999</v>
      </c>
      <c r="F257" s="274">
        <f>-67.4-E257-D257</f>
        <v>-496.70000000000005</v>
      </c>
      <c r="G257" s="274">
        <f>-141.1-F257-E257-D257</f>
        <v>-73.699999999999989</v>
      </c>
      <c r="H257" s="267">
        <f t="shared" ref="H257" si="914">SUM(D257:G257)</f>
        <v>-141.10000000000002</v>
      </c>
      <c r="I257" s="274">
        <f>-31.8-301.6</f>
        <v>-333.40000000000003</v>
      </c>
      <c r="J257" s="274">
        <f>-608.6-140.5-I257</f>
        <v>-415.7</v>
      </c>
      <c r="K257" s="274">
        <f>-918.2+70.5-J257-I257</f>
        <v>-98.600000000000023</v>
      </c>
      <c r="L257" s="274">
        <f>(L202-K202)+(L212-K212)+(L213-K213)+(L205-K205)+(L203-K203)</f>
        <v>-25.980657935110003</v>
      </c>
      <c r="M257" s="267">
        <f t="shared" ref="M257" si="915">SUM(I257:L257)</f>
        <v>-873.68065793511005</v>
      </c>
      <c r="N257" s="274">
        <f>(N202-L202)+(N212-L212)+(N213-L213)+(N205-L205)+(N203-L203)</f>
        <v>28.326330419090027</v>
      </c>
      <c r="O257" s="274">
        <f t="shared" ref="O257:Q257" si="916">(O202-N202)+(O212-N212)+(O213-N213)+(O205-N205)+(O203-N203)</f>
        <v>-130.35760099785728</v>
      </c>
      <c r="P257" s="274">
        <f t="shared" si="916"/>
        <v>-211.73132000232044</v>
      </c>
      <c r="Q257" s="274">
        <f t="shared" si="916"/>
        <v>131.66421967928318</v>
      </c>
      <c r="R257" s="267">
        <f t="shared" ref="R257" si="917">SUM(N257:Q257)</f>
        <v>-182.09837090180451</v>
      </c>
      <c r="S257" s="274">
        <f>(S202-Q202)+(S212-Q212)+(S213-Q213)+(S205-Q205)+(S203-Q203)</f>
        <v>82.057841618387215</v>
      </c>
      <c r="T257" s="274">
        <f t="shared" ref="T257:V257" si="918">(T202-S202)+(T212-S212)+(T213-S213)+(T205-S205)+(T203-S203)</f>
        <v>-84.330075087027808</v>
      </c>
      <c r="U257" s="274">
        <f t="shared" si="918"/>
        <v>21.280507092792391</v>
      </c>
      <c r="V257" s="274">
        <f t="shared" si="918"/>
        <v>11.645289302460924</v>
      </c>
      <c r="W257" s="267">
        <f t="shared" ref="W257" si="919">SUM(S257:V257)</f>
        <v>30.653562926612722</v>
      </c>
      <c r="X257" s="274">
        <f>(X202-V202)+(X212-V212)+(X213-V213)+(X205-V205)+(X203-V203)</f>
        <v>118.83516779789727</v>
      </c>
      <c r="Y257" s="274">
        <f t="shared" ref="Y257:AA257" si="920">(Y202-X202)+(Y212-X212)+(Y213-X213)+(Y205-X205)+(Y203-X203)</f>
        <v>-163.17780157281823</v>
      </c>
      <c r="Z257" s="274">
        <f t="shared" si="920"/>
        <v>-1.7468189703002963</v>
      </c>
      <c r="AA257" s="274">
        <f t="shared" si="920"/>
        <v>37.102974198777019</v>
      </c>
      <c r="AB257" s="267">
        <f t="shared" ref="AB257" si="921">SUM(X257:AA257)</f>
        <v>-8.9864785464442321</v>
      </c>
      <c r="AC257" s="274">
        <f>(AC202-AA202)+(AC212-AA212)+(AC213-AA213)+(AC205-AA205)+(AC203-AA203)</f>
        <v>126.44370296008128</v>
      </c>
      <c r="AD257" s="274">
        <f t="shared" ref="AD257:AF257" si="922">(AD202-AC202)+(AD212-AC212)+(AD213-AC213)+(AD205-AC205)+(AD203-AC203)</f>
        <v>-163.96960814432282</v>
      </c>
      <c r="AE257" s="274">
        <f t="shared" si="922"/>
        <v>7.4827173615949505</v>
      </c>
      <c r="AF257" s="274">
        <f t="shared" si="922"/>
        <v>44.332109642900377</v>
      </c>
      <c r="AG257" s="267">
        <f t="shared" ref="AG257" si="923">SUM(AC257:AF257)</f>
        <v>14.28892182025379</v>
      </c>
      <c r="AH257" s="274">
        <f>(AH202-AF202)+(AH212-AF212)+(AH213-AF213)+(AH205-AF205)+(AH203-AF203)</f>
        <v>127.79626884692425</v>
      </c>
      <c r="AI257" s="274">
        <f t="shared" ref="AI257:AK257" si="924">(AI202-AH202)+(AI212-AH212)+(AI213-AH213)+(AI205-AH205)+(AI203-AH203)</f>
        <v>-171.28497354278761</v>
      </c>
      <c r="AJ257" s="274">
        <f t="shared" si="924"/>
        <v>21.366826981985696</v>
      </c>
      <c r="AK257" s="274">
        <f t="shared" si="924"/>
        <v>42.57329561182496</v>
      </c>
      <c r="AL257" s="267">
        <f t="shared" ref="AL257" si="925">SUM(AH257:AK257)</f>
        <v>20.451417897947294</v>
      </c>
    </row>
    <row r="258" spans="1:38" outlineLevel="1" x14ac:dyDescent="0.25">
      <c r="A258" s="293"/>
      <c r="B258" s="519" t="s">
        <v>12</v>
      </c>
      <c r="C258" s="520"/>
      <c r="D258" s="96">
        <f t="shared" ref="D258:AL258" si="926">D242+SUM(D243:D257)</f>
        <v>2379.0000000000005</v>
      </c>
      <c r="E258" s="96">
        <f t="shared" si="926"/>
        <v>390.39999999999969</v>
      </c>
      <c r="F258" s="96">
        <f t="shared" si="926"/>
        <v>1169.400000000001</v>
      </c>
      <c r="G258" s="96">
        <f t="shared" si="926"/>
        <v>1108.1000000000008</v>
      </c>
      <c r="H258" s="268">
        <f t="shared" si="926"/>
        <v>5046.9000000000051</v>
      </c>
      <c r="I258" s="96">
        <f t="shared" si="926"/>
        <v>1836.0999999999985</v>
      </c>
      <c r="J258" s="96">
        <f t="shared" si="926"/>
        <v>-1361.3000000000009</v>
      </c>
      <c r="K258" s="96">
        <f t="shared" si="926"/>
        <v>-367.69999999999925</v>
      </c>
      <c r="L258" s="96">
        <f t="shared" si="926"/>
        <v>994.29830325809132</v>
      </c>
      <c r="M258" s="268">
        <f t="shared" si="926"/>
        <v>1101.3983032580936</v>
      </c>
      <c r="N258" s="96">
        <f t="shared" si="926"/>
        <v>1624.7619755562882</v>
      </c>
      <c r="O258" s="96">
        <f t="shared" si="926"/>
        <v>737.50542298048197</v>
      </c>
      <c r="P258" s="96">
        <f t="shared" si="926"/>
        <v>993.57076093749993</v>
      </c>
      <c r="Q258" s="96">
        <f t="shared" si="926"/>
        <v>1448.3701116418788</v>
      </c>
      <c r="R258" s="268">
        <f t="shared" si="926"/>
        <v>4804.2082711161484</v>
      </c>
      <c r="S258" s="96">
        <f t="shared" si="926"/>
        <v>1801.3661825360205</v>
      </c>
      <c r="T258" s="96">
        <f t="shared" si="926"/>
        <v>966.1865205146911</v>
      </c>
      <c r="U258" s="96">
        <f t="shared" si="926"/>
        <v>1353.3158759716928</v>
      </c>
      <c r="V258" s="96">
        <f t="shared" si="926"/>
        <v>1441.2010590965942</v>
      </c>
      <c r="W258" s="268">
        <f t="shared" si="926"/>
        <v>5562.069638119001</v>
      </c>
      <c r="X258" s="96">
        <f t="shared" si="926"/>
        <v>1989.4973903870937</v>
      </c>
      <c r="Y258" s="96">
        <f t="shared" si="926"/>
        <v>1008.0111536767627</v>
      </c>
      <c r="Z258" s="96">
        <f t="shared" si="926"/>
        <v>1476.2028070738156</v>
      </c>
      <c r="AA258" s="96">
        <f t="shared" si="926"/>
        <v>1572.7724651836381</v>
      </c>
      <c r="AB258" s="268">
        <f t="shared" si="926"/>
        <v>6046.4838163213062</v>
      </c>
      <c r="AC258" s="96">
        <f t="shared" si="926"/>
        <v>2194.422579191164</v>
      </c>
      <c r="AD258" s="96">
        <f t="shared" si="926"/>
        <v>1143.2808554566045</v>
      </c>
      <c r="AE258" s="96">
        <f t="shared" si="926"/>
        <v>1606.7067424130014</v>
      </c>
      <c r="AF258" s="96">
        <f t="shared" si="926"/>
        <v>1755.4028188164114</v>
      </c>
      <c r="AG258" s="268">
        <f t="shared" si="926"/>
        <v>6699.8129958771869</v>
      </c>
      <c r="AH258" s="96">
        <f t="shared" si="926"/>
        <v>2378.7542848339763</v>
      </c>
      <c r="AI258" s="96">
        <f t="shared" si="926"/>
        <v>1267.3449879192035</v>
      </c>
      <c r="AJ258" s="96">
        <f t="shared" si="926"/>
        <v>1782.8567750278519</v>
      </c>
      <c r="AK258" s="96">
        <f t="shared" si="926"/>
        <v>1880.2349867161161</v>
      </c>
      <c r="AL258" s="268">
        <f t="shared" si="926"/>
        <v>7309.191034497142</v>
      </c>
    </row>
    <row r="259" spans="1:38" outlineLevel="1" x14ac:dyDescent="0.25">
      <c r="A259" s="293"/>
      <c r="B259" s="551" t="s">
        <v>13</v>
      </c>
      <c r="C259" s="552"/>
      <c r="D259" s="431"/>
      <c r="E259" s="25"/>
      <c r="F259" s="25"/>
      <c r="G259" s="25"/>
      <c r="H259" s="26"/>
      <c r="I259" s="353"/>
      <c r="J259" s="353"/>
      <c r="K259" s="25"/>
      <c r="L259" s="25"/>
      <c r="M259" s="275"/>
      <c r="N259" s="25"/>
      <c r="O259" s="25"/>
      <c r="P259" s="25"/>
      <c r="Q259" s="25"/>
      <c r="R259" s="275"/>
      <c r="S259" s="25"/>
      <c r="T259" s="25"/>
      <c r="U259" s="25"/>
      <c r="V259" s="25"/>
      <c r="W259" s="275"/>
      <c r="X259" s="25"/>
      <c r="Y259" s="25"/>
      <c r="Z259" s="25"/>
      <c r="AA259" s="25"/>
      <c r="AB259" s="275"/>
      <c r="AC259" s="25"/>
      <c r="AD259" s="25"/>
      <c r="AE259" s="25"/>
      <c r="AF259" s="25"/>
      <c r="AG259" s="275"/>
      <c r="AH259" s="25"/>
      <c r="AI259" s="25"/>
      <c r="AJ259" s="25"/>
      <c r="AK259" s="25"/>
      <c r="AL259" s="275"/>
    </row>
    <row r="260" spans="1:38" outlineLevel="1" x14ac:dyDescent="0.25">
      <c r="A260" s="293"/>
      <c r="B260" s="82" t="s">
        <v>240</v>
      </c>
      <c r="C260" s="83"/>
      <c r="D260" s="37">
        <f>-108.7+32.1+14.2</f>
        <v>-62.399999999999991</v>
      </c>
      <c r="E260" s="37">
        <f>-150.2+218.3+55.1-D260</f>
        <v>185.60000000000002</v>
      </c>
      <c r="F260" s="37">
        <f>-176.3+281.7+57.5-E260-D260</f>
        <v>39.699999999999946</v>
      </c>
      <c r="G260" s="37">
        <f>-190.4+298.3+59.8-F260-E260-D260</f>
        <v>4.8000000000000256</v>
      </c>
      <c r="H260" s="38">
        <f>SUM(D260:G260)</f>
        <v>167.7</v>
      </c>
      <c r="I260" s="37">
        <f>-38+64.6+1.3</f>
        <v>27.899999999999995</v>
      </c>
      <c r="J260" s="37">
        <f>-65.1+93.7+4.3-I260</f>
        <v>5.0000000000000107</v>
      </c>
      <c r="K260" s="37">
        <f>-297.4+133.5+10-J260-I260</f>
        <v>-186.79999999999998</v>
      </c>
      <c r="L260" s="37">
        <f>-(L186-K186)-(L191-K191)</f>
        <v>100.66537518939364</v>
      </c>
      <c r="M260" s="38">
        <f>SUM(I260:L260)</f>
        <v>-53.234624810606334</v>
      </c>
      <c r="N260" s="37">
        <f>-(N186-L186)-(N191-L191)</f>
        <v>18.310892348042415</v>
      </c>
      <c r="O260" s="37">
        <f>-(O186-N186)-(O191-N191)</f>
        <v>-4.3407174241367983</v>
      </c>
      <c r="P260" s="37">
        <f>-(P186-O186)-(P191-O191)</f>
        <v>-13.818395729142722</v>
      </c>
      <c r="Q260" s="37">
        <f>-(Q186-P186)-(Q191-P191)</f>
        <v>17.667156339128596</v>
      </c>
      <c r="R260" s="38">
        <f>SUM(N260:Q260)</f>
        <v>17.818935533891491</v>
      </c>
      <c r="S260" s="37">
        <f>-(S186-Q186)-(S191-Q191)</f>
        <v>-7.7506423891716452</v>
      </c>
      <c r="T260" s="37">
        <f>-(T186-S186)-(T191-S191)</f>
        <v>2.5639867403757535</v>
      </c>
      <c r="U260" s="37">
        <f>-(U186-T186)-(U191-T191)</f>
        <v>-1.163237914448203</v>
      </c>
      <c r="V260" s="37">
        <f>-(V186-U186)-(V191-U191)</f>
        <v>0.27492747647795568</v>
      </c>
      <c r="W260" s="38">
        <f>SUM(S260:V260)</f>
        <v>-6.074966086766139</v>
      </c>
      <c r="X260" s="37">
        <f>-(X186-V186)-(X191-V191)</f>
        <v>-11.068747220063543</v>
      </c>
      <c r="Y260" s="37">
        <f>-(Y186-X186)-(Y191-X191)</f>
        <v>5.8175396207305994</v>
      </c>
      <c r="Z260" s="37">
        <f>-(Z186-Y186)-(Z191-Y191)</f>
        <v>-0.78468832868632887</v>
      </c>
      <c r="AA260" s="37">
        <f>-(AA186-Z186)-(AA191-Z191)</f>
        <v>-3.9400121214180786</v>
      </c>
      <c r="AB260" s="38">
        <f>SUM(X260:AA260)</f>
        <v>-9.9759080494373507</v>
      </c>
      <c r="AC260" s="37">
        <f>-(AC186-AA186)-(AC191-AA191)</f>
        <v>-11.5512704993331</v>
      </c>
      <c r="AD260" s="37">
        <f>-(AD186-AC186)-(AD191-AC191)</f>
        <v>6.9044244549723999</v>
      </c>
      <c r="AE260" s="37">
        <f>-(AE186-AD186)-(AE191-AD191)</f>
        <v>-0.58000282764054134</v>
      </c>
      <c r="AF260" s="37">
        <f>-(AF186-AE186)-(AF191-AE191)</f>
        <v>-4.7459019034093473</v>
      </c>
      <c r="AG260" s="38">
        <f>SUM(AC260:AF260)</f>
        <v>-9.9727507754105886</v>
      </c>
      <c r="AH260" s="37">
        <f>-(AH186-AF186)-(AH191-AF191)</f>
        <v>-9.2782905849247044</v>
      </c>
      <c r="AI260" s="37">
        <f>-(AI186-AH186)-(AI191-AH191)</f>
        <v>10.485654147002862</v>
      </c>
      <c r="AJ260" s="37">
        <f>-(AJ186-AI186)-(AJ191-AI191)</f>
        <v>1.9983343880761026</v>
      </c>
      <c r="AK260" s="37">
        <f>-(AK186-AJ186)-(AK191-AJ191)</f>
        <v>-1.7658640357851851</v>
      </c>
      <c r="AL260" s="38">
        <f>SUM(AH260:AK260)</f>
        <v>1.4398339143690748</v>
      </c>
    </row>
    <row r="261" spans="1:38" outlineLevel="1" x14ac:dyDescent="0.25">
      <c r="A261" s="293"/>
      <c r="B261" s="510" t="s">
        <v>241</v>
      </c>
      <c r="C261" s="511"/>
      <c r="D261" s="37">
        <v>-431.4</v>
      </c>
      <c r="E261" s="37">
        <f>-845.6-D261</f>
        <v>-414.20000000000005</v>
      </c>
      <c r="F261" s="37">
        <f>-1280.7-E261-D261</f>
        <v>-435.1</v>
      </c>
      <c r="G261" s="37">
        <f>-1806.6-F261-E261-D261</f>
        <v>-525.9</v>
      </c>
      <c r="H261" s="296">
        <f>SUM(D261:G261)</f>
        <v>-1806.6</v>
      </c>
      <c r="I261" s="37">
        <v>-394.3</v>
      </c>
      <c r="J261" s="37">
        <f>-758.3-I261</f>
        <v>-363.99999999999994</v>
      </c>
      <c r="K261" s="37">
        <f>-1138.4-J261-I261</f>
        <v>-380.10000000000008</v>
      </c>
      <c r="L261" s="37">
        <f>-L17*L292</f>
        <v>-362.17887941333316</v>
      </c>
      <c r="M261" s="424">
        <f>SUM(I261:L261)</f>
        <v>-1500.5788794133332</v>
      </c>
      <c r="N261" s="37">
        <f>-N17*N292</f>
        <v>-428.68054757833892</v>
      </c>
      <c r="O261" s="37">
        <f>-O17*O292</f>
        <v>-427.46269266362322</v>
      </c>
      <c r="P261" s="37">
        <f>-P17*P292</f>
        <v>-442.94177205860808</v>
      </c>
      <c r="Q261" s="37">
        <f>-Q17*Q292</f>
        <v>-448.71114705669544</v>
      </c>
      <c r="R261" s="38">
        <f>SUM(N261:Q261)</f>
        <v>-1747.7961593572657</v>
      </c>
      <c r="S261" s="37">
        <f>-S17*S292</f>
        <v>-471.53328275463036</v>
      </c>
      <c r="T261" s="37">
        <f>-T17*T292</f>
        <v>-430.82753267215509</v>
      </c>
      <c r="U261" s="37">
        <f>-U17*U292</f>
        <v>-440.96663745673317</v>
      </c>
      <c r="V261" s="37">
        <f>-V17*V292</f>
        <v>-458.7592567564655</v>
      </c>
      <c r="W261" s="38">
        <f>SUM(S261:V261)</f>
        <v>-1802.0867096399841</v>
      </c>
      <c r="X261" s="37">
        <f>-X17*X292</f>
        <v>-418.43851237071914</v>
      </c>
      <c r="Y261" s="37">
        <f>-Y17*Y292</f>
        <v>-382.01543424735331</v>
      </c>
      <c r="Z261" s="37">
        <f>-Z17*Z292</f>
        <v>-391.4253595457144</v>
      </c>
      <c r="AA261" s="37">
        <f>-AA17*AA292</f>
        <v>-407.66236527400957</v>
      </c>
      <c r="AB261" s="38">
        <f>SUM(X261:AA261)</f>
        <v>-1599.5416714377964</v>
      </c>
      <c r="AC261" s="37">
        <f>-AC17*AC292</f>
        <v>-445.98435130548506</v>
      </c>
      <c r="AD261" s="37">
        <f>-AD17*AD292</f>
        <v>-407.00275426600984</v>
      </c>
      <c r="AE261" s="37">
        <f>-AE17*AE292</f>
        <v>-417.57944890472419</v>
      </c>
      <c r="AF261" s="37">
        <f>-AF17*AF292</f>
        <v>-435.1263792069127</v>
      </c>
      <c r="AG261" s="38">
        <f>SUM(AC261:AF261)</f>
        <v>-1705.6929336831317</v>
      </c>
      <c r="AH261" s="37">
        <f>-AH17*AH292</f>
        <v>-476.69048875877706</v>
      </c>
      <c r="AI261" s="37">
        <f>-AI17*AI292</f>
        <v>-434.75437693748904</v>
      </c>
      <c r="AJ261" s="37">
        <f>-AJ17*AJ292</f>
        <v>-446.62052250015398</v>
      </c>
      <c r="AK261" s="37">
        <f>-AK17*AK292</f>
        <v>-465.54942477828291</v>
      </c>
      <c r="AL261" s="38">
        <f>SUM(AH261:AK261)</f>
        <v>-1823.614812974703</v>
      </c>
    </row>
    <row r="262" spans="1:38" ht="17.25" outlineLevel="1" x14ac:dyDescent="0.4">
      <c r="A262" s="293"/>
      <c r="B262" s="510" t="s">
        <v>113</v>
      </c>
      <c r="C262" s="511"/>
      <c r="D262" s="40">
        <v>-16.600000000000001</v>
      </c>
      <c r="E262" s="40">
        <f>48.5-37.1-D262</f>
        <v>28</v>
      </c>
      <c r="F262" s="40">
        <f>684.2-72.9-E262-D262</f>
        <v>599.90000000000009</v>
      </c>
      <c r="G262" s="40">
        <f>684.3-56.2-F262-E262-D262</f>
        <v>16.79999999999982</v>
      </c>
      <c r="H262" s="41">
        <f>SUM(D262:G262)</f>
        <v>628.09999999999991</v>
      </c>
      <c r="I262" s="40">
        <v>-19.899999999999999</v>
      </c>
      <c r="J262" s="40">
        <f>-22.5-I262</f>
        <v>-2.6000000000000014</v>
      </c>
      <c r="K262" s="40">
        <f>-39.4-J262-I262</f>
        <v>-16.899999999999999</v>
      </c>
      <c r="L262" s="40">
        <f>-(L192-K192)-(L196-K196)-(L194-K194)+(L211-K211)-(L197-K197)-(L198-K198)</f>
        <v>53.787426899260936</v>
      </c>
      <c r="M262" s="41">
        <f>SUM(I262:L262)</f>
        <v>14.387426899260937</v>
      </c>
      <c r="N262" s="40">
        <f>-(N192-L192)-(N196-L196)-(N194-L194)+(N211-L211)-(N197-L197)-(N198-L198)</f>
        <v>37.417866262681741</v>
      </c>
      <c r="O262" s="40">
        <f t="shared" ref="O262:Q262" si="927">-(O192-N192)-(O196-N196)-(O194-N194)+(O211-N211)-(O197-N197)-(O198-N198)</f>
        <v>52.927315783592974</v>
      </c>
      <c r="P262" s="40">
        <f t="shared" si="927"/>
        <v>45.906012471634654</v>
      </c>
      <c r="Q262" s="40">
        <f t="shared" si="927"/>
        <v>33.427327045980405</v>
      </c>
      <c r="R262" s="41">
        <f>SUM(N262:Q262)</f>
        <v>169.67852156388977</v>
      </c>
      <c r="S262" s="40">
        <f>-(S192-Q192)-(S196-Q196)-(S194-Q194)+(S211-Q211)-(S197-Q197)-(S198-Q198)</f>
        <v>19.059509551301005</v>
      </c>
      <c r="T262" s="40">
        <f t="shared" ref="T262:V262" si="928">-(T192-S192)-(T196-S196)-(T194-S194)+(T211-S211)-(T197-S197)-(T198-S198)</f>
        <v>40.301402398332527</v>
      </c>
      <c r="U262" s="40">
        <f t="shared" si="928"/>
        <v>29.270098956600691</v>
      </c>
      <c r="V262" s="40">
        <f t="shared" si="928"/>
        <v>22.731831569288431</v>
      </c>
      <c r="W262" s="41">
        <f>SUM(S262:V262)</f>
        <v>111.36284247552265</v>
      </c>
      <c r="X262" s="40">
        <f>-(X192-V192)-(X196-V196)-(X194-V194)+(X211-V211)-(X197-V197)-(X198-V198)</f>
        <v>9.6570945362174143</v>
      </c>
      <c r="Y262" s="40">
        <f t="shared" ref="Y262:AA262" si="929">-(Y192-X192)-(Y196-X196)-(Y194-X194)+(Y211-X211)-(Y197-X197)-(Y198-X198)</f>
        <v>34.512097215203198</v>
      </c>
      <c r="Z262" s="40">
        <f t="shared" si="929"/>
        <v>21.956006407550831</v>
      </c>
      <c r="AA262" s="40">
        <f t="shared" si="929"/>
        <v>15.346846438263867</v>
      </c>
      <c r="AB262" s="41">
        <f>SUM(X262:AA262)</f>
        <v>81.47204459723531</v>
      </c>
      <c r="AC262" s="40">
        <f>-(AC192-AA192)-(AC196-AA196)-(AC194-AA194)+(AC211-AA211)-(AC197-AA197)-(AC198-AA198)</f>
        <v>3.7251433050336686</v>
      </c>
      <c r="AD262" s="40">
        <f t="shared" ref="AD262:AF262" si="930">-(AD192-AC192)-(AD196-AC196)-(AD194-AC194)+(AD211-AC211)-(AD197-AC197)-(AD198-AC198)</f>
        <v>30.681829551859693</v>
      </c>
      <c r="AE262" s="40">
        <f t="shared" si="930"/>
        <v>18.066168885825476</v>
      </c>
      <c r="AF262" s="40">
        <f t="shared" si="930"/>
        <v>10.819876628590549</v>
      </c>
      <c r="AG262" s="41">
        <f>SUM(AC262:AF262)</f>
        <v>63.293018371309387</v>
      </c>
      <c r="AH262" s="40">
        <f>-(AH192-AF192)-(AH196-AF196)-(AH194-AF194)+(AH211-AF211)-(AH197-AF197)-(AH198-AF198)</f>
        <v>3.2387624319266024</v>
      </c>
      <c r="AI262" s="40">
        <f t="shared" ref="AI262:AK262" si="931">-(AI192-AH192)-(AI196-AH196)-(AI194-AH194)+(AI211-AH211)-(AI197-AH197)-(AI198-AH198)</f>
        <v>32.46629083009887</v>
      </c>
      <c r="AJ262" s="40">
        <f t="shared" si="931"/>
        <v>18.750471891811458</v>
      </c>
      <c r="AK262" s="40">
        <f t="shared" si="931"/>
        <v>12.324563042320079</v>
      </c>
      <c r="AL262" s="41">
        <f>SUM(AH262:AK262)</f>
        <v>66.78008819615701</v>
      </c>
    </row>
    <row r="263" spans="1:38" outlineLevel="1" x14ac:dyDescent="0.25">
      <c r="A263" s="293"/>
      <c r="B263" s="502" t="s">
        <v>14</v>
      </c>
      <c r="C263" s="503"/>
      <c r="D263" s="44">
        <f t="shared" ref="D263:AA263" si="932">SUM(D260:D262)</f>
        <v>-510.4</v>
      </c>
      <c r="E263" s="44">
        <f t="shared" si="932"/>
        <v>-200.60000000000002</v>
      </c>
      <c r="F263" s="44">
        <f t="shared" si="932"/>
        <v>204.5</v>
      </c>
      <c r="G263" s="44">
        <f t="shared" si="932"/>
        <v>-504.30000000000007</v>
      </c>
      <c r="H263" s="45">
        <f t="shared" si="932"/>
        <v>-1010.8</v>
      </c>
      <c r="I263" s="44">
        <f t="shared" si="932"/>
        <v>-386.3</v>
      </c>
      <c r="J263" s="44">
        <f t="shared" si="932"/>
        <v>-361.59999999999997</v>
      </c>
      <c r="K263" s="44">
        <f t="shared" si="932"/>
        <v>-583.80000000000007</v>
      </c>
      <c r="L263" s="44">
        <f t="shared" si="932"/>
        <v>-207.72607732467861</v>
      </c>
      <c r="M263" s="45">
        <f t="shared" si="932"/>
        <v>-1539.4260773246788</v>
      </c>
      <c r="N263" s="44">
        <f t="shared" si="932"/>
        <v>-372.95178896761479</v>
      </c>
      <c r="O263" s="44">
        <f t="shared" si="932"/>
        <v>-378.87609430416705</v>
      </c>
      <c r="P263" s="44">
        <f t="shared" si="932"/>
        <v>-410.85415531611613</v>
      </c>
      <c r="Q263" s="44">
        <f t="shared" si="932"/>
        <v>-397.61666367158642</v>
      </c>
      <c r="R263" s="45">
        <f t="shared" ref="R263" si="933">SUM(R260:R262)</f>
        <v>-1560.2987022594843</v>
      </c>
      <c r="S263" s="44">
        <f t="shared" si="932"/>
        <v>-460.22441559250097</v>
      </c>
      <c r="T263" s="44">
        <f t="shared" si="932"/>
        <v>-387.96214353344681</v>
      </c>
      <c r="U263" s="44">
        <f t="shared" si="932"/>
        <v>-412.85977641458067</v>
      </c>
      <c r="V263" s="44">
        <f t="shared" si="932"/>
        <v>-435.75249771069912</v>
      </c>
      <c r="W263" s="45">
        <f t="shared" ref="W263" si="934">SUM(W260:W262)</f>
        <v>-1696.7988332512275</v>
      </c>
      <c r="X263" s="44">
        <f t="shared" si="932"/>
        <v>-419.85016505456525</v>
      </c>
      <c r="Y263" s="44">
        <f t="shared" si="932"/>
        <v>-341.68579741141951</v>
      </c>
      <c r="Z263" s="44">
        <f t="shared" si="932"/>
        <v>-370.25404146684991</v>
      </c>
      <c r="AA263" s="44">
        <f t="shared" si="932"/>
        <v>-396.25553095716378</v>
      </c>
      <c r="AB263" s="45">
        <f t="shared" ref="AB263" si="935">SUM(AB260:AB262)</f>
        <v>-1528.0455348899984</v>
      </c>
      <c r="AC263" s="44">
        <f t="shared" ref="AC263:AG263" si="936">SUM(AC260:AC262)</f>
        <v>-453.81047849978449</v>
      </c>
      <c r="AD263" s="44">
        <f t="shared" si="936"/>
        <v>-369.41650025917772</v>
      </c>
      <c r="AE263" s="44">
        <f t="shared" si="936"/>
        <v>-400.0932828465393</v>
      </c>
      <c r="AF263" s="44">
        <f t="shared" si="936"/>
        <v>-429.05240448173151</v>
      </c>
      <c r="AG263" s="45">
        <f t="shared" si="936"/>
        <v>-1652.3726660872328</v>
      </c>
      <c r="AH263" s="44">
        <f t="shared" ref="AH263:AL263" si="937">SUM(AH260:AH262)</f>
        <v>-482.73001691177518</v>
      </c>
      <c r="AI263" s="44">
        <f t="shared" si="937"/>
        <v>-391.80243196038737</v>
      </c>
      <c r="AJ263" s="44">
        <f t="shared" si="937"/>
        <v>-425.87171622026642</v>
      </c>
      <c r="AK263" s="44">
        <f t="shared" si="937"/>
        <v>-454.99072577174798</v>
      </c>
      <c r="AL263" s="45">
        <f t="shared" si="937"/>
        <v>-1755.3948908641769</v>
      </c>
    </row>
    <row r="264" spans="1:38" outlineLevel="1" x14ac:dyDescent="0.25">
      <c r="A264" s="293"/>
      <c r="B264" s="500" t="s">
        <v>15</v>
      </c>
      <c r="C264" s="501"/>
      <c r="D264" s="277"/>
      <c r="E264" s="272"/>
      <c r="F264" s="272"/>
      <c r="G264" s="272"/>
      <c r="H264" s="273"/>
      <c r="I264" s="272"/>
      <c r="J264" s="272"/>
      <c r="K264" s="272"/>
      <c r="L264" s="272"/>
      <c r="M264" s="273"/>
      <c r="N264" s="272"/>
      <c r="O264" s="272"/>
      <c r="P264" s="272"/>
      <c r="Q264" s="272"/>
      <c r="R264" s="273"/>
      <c r="S264" s="272"/>
      <c r="T264" s="272"/>
      <c r="U264" s="272"/>
      <c r="V264" s="272"/>
      <c r="W264" s="273"/>
      <c r="X264" s="272"/>
      <c r="Y264" s="272"/>
      <c r="Z264" s="272"/>
      <c r="AA264" s="272"/>
      <c r="AB264" s="273"/>
      <c r="AC264" s="272"/>
      <c r="AD264" s="272"/>
      <c r="AE264" s="272"/>
      <c r="AF264" s="272"/>
      <c r="AG264" s="273"/>
      <c r="AH264" s="272"/>
      <c r="AI264" s="272"/>
      <c r="AJ264" s="272"/>
      <c r="AK264" s="272"/>
      <c r="AL264" s="273"/>
    </row>
    <row r="265" spans="1:38" outlineLevel="1" x14ac:dyDescent="0.25">
      <c r="A265" s="293"/>
      <c r="B265" s="514" t="s">
        <v>308</v>
      </c>
      <c r="C265" s="515"/>
      <c r="D265" s="97">
        <v>0</v>
      </c>
      <c r="E265" s="97">
        <f>-D265</f>
        <v>0</v>
      </c>
      <c r="F265" s="97">
        <f>1996-350-E265-D265</f>
        <v>1646</v>
      </c>
      <c r="G265" s="97">
        <f>1996-F265-E265-D265</f>
        <v>350</v>
      </c>
      <c r="H265" s="98">
        <f t="shared" ref="H265:H269" si="938">SUM(D265:G265)</f>
        <v>1996</v>
      </c>
      <c r="I265" s="97">
        <v>0</v>
      </c>
      <c r="J265" s="97">
        <f>1739.7-I265</f>
        <v>1739.7</v>
      </c>
      <c r="K265" s="97">
        <f>1157.2+4727.6-J265-I265</f>
        <v>4145.1000000000004</v>
      </c>
      <c r="L265" s="97">
        <f>+(L207-K207)+(L210-K210)</f>
        <v>-437</v>
      </c>
      <c r="M265" s="98">
        <f t="shared" ref="M265:M269" si="939">SUM(I265:L265)</f>
        <v>5447.8</v>
      </c>
      <c r="N265" s="97">
        <f>+(N207-L207)+(N210-L210)</f>
        <v>-437</v>
      </c>
      <c r="O265" s="97">
        <f>+(O207-N207)+(O210-N210)</f>
        <v>-437</v>
      </c>
      <c r="P265" s="97">
        <f>+(P207-O207)+(P210-O210)</f>
        <v>-437</v>
      </c>
      <c r="Q265" s="97">
        <f>+(Q207-P207)+(Q210-P210)</f>
        <v>-438.09999999999991</v>
      </c>
      <c r="R265" s="98">
        <f t="shared" ref="R265:R269" si="940">SUM(N265:Q265)</f>
        <v>-1749.1</v>
      </c>
      <c r="S265" s="97">
        <f>+(S207-Q207)+(S210-Q210)</f>
        <v>-250</v>
      </c>
      <c r="T265" s="97">
        <f>+(T207-S207)+(T210-S210)</f>
        <v>-250</v>
      </c>
      <c r="U265" s="97">
        <f>+(U207-T207)+(U210-T210)</f>
        <v>-250</v>
      </c>
      <c r="V265" s="97">
        <f>+(V207-U207)+(V210-U210)</f>
        <v>-250</v>
      </c>
      <c r="W265" s="98">
        <f t="shared" ref="W265:W269" si="941">SUM(S265:V265)</f>
        <v>-1000</v>
      </c>
      <c r="X265" s="97">
        <f>+(X207-V207)+(X210-V210)</f>
        <v>-250</v>
      </c>
      <c r="Y265" s="97">
        <f>+(Y207-X207)+(Y210-X210)</f>
        <v>-250</v>
      </c>
      <c r="Z265" s="97">
        <f>+(Z207-Y207)+(Z210-Y210)</f>
        <v>-250</v>
      </c>
      <c r="AA265" s="97">
        <f>+(AA207-Z207)+(AA210-Z210)</f>
        <v>-250</v>
      </c>
      <c r="AB265" s="98">
        <f t="shared" ref="AB265:AB269" si="942">SUM(X265:AA265)</f>
        <v>-1000</v>
      </c>
      <c r="AC265" s="97">
        <f>+(AC207-AA207)+(AC210-AA210)</f>
        <v>-385.75</v>
      </c>
      <c r="AD265" s="97">
        <f>+(AD207-AC207)+(AD210-AC210)</f>
        <v>-385.75</v>
      </c>
      <c r="AE265" s="97">
        <f>+(AE207-AD207)+(AE210-AD210)</f>
        <v>-385.75</v>
      </c>
      <c r="AF265" s="97">
        <f>+(AF207-AE207)+(AF210-AE210)</f>
        <v>-385.75</v>
      </c>
      <c r="AG265" s="98">
        <f t="shared" ref="AG265:AG269" si="943">SUM(AC265:AF265)</f>
        <v>-1543</v>
      </c>
      <c r="AH265" s="97">
        <f>+(AH207-AF207)+(AH210-AF210)</f>
        <v>-750</v>
      </c>
      <c r="AI265" s="97">
        <f>+(AI207-AH207)+(AI210-AH210)</f>
        <v>-750</v>
      </c>
      <c r="AJ265" s="97">
        <f>+(AJ207-AI207)+(AJ210-AI210)</f>
        <v>-750</v>
      </c>
      <c r="AK265" s="97">
        <f>+(AK207-AJ207)+(AK210-AJ210)</f>
        <v>-750</v>
      </c>
      <c r="AL265" s="98">
        <f t="shared" ref="AL265:AL269" si="944">SUM(AH265:AK265)</f>
        <v>-3000</v>
      </c>
    </row>
    <row r="266" spans="1:38" outlineLevel="1" x14ac:dyDescent="0.25">
      <c r="A266" s="293"/>
      <c r="B266" s="339" t="s">
        <v>307</v>
      </c>
      <c r="C266" s="340"/>
      <c r="D266" s="97">
        <v>-350</v>
      </c>
      <c r="E266" s="97">
        <v>0</v>
      </c>
      <c r="F266" s="97">
        <f>-75-E266-D266</f>
        <v>275</v>
      </c>
      <c r="G266" s="97">
        <f>-350-F266-E266-D266</f>
        <v>-275</v>
      </c>
      <c r="H266" s="98">
        <f t="shared" si="938"/>
        <v>-350</v>
      </c>
      <c r="I266" s="97"/>
      <c r="J266" s="97">
        <f t="shared" ref="J266" si="945">0-I266</f>
        <v>0</v>
      </c>
      <c r="K266" s="97">
        <v>-220.7</v>
      </c>
      <c r="L266" s="97"/>
      <c r="M266" s="98">
        <f t="shared" si="939"/>
        <v>-220.7</v>
      </c>
      <c r="N266" s="97"/>
      <c r="O266" s="97"/>
      <c r="P266" s="97"/>
      <c r="Q266" s="97"/>
      <c r="R266" s="98">
        <f t="shared" si="940"/>
        <v>0</v>
      </c>
      <c r="S266" s="97"/>
      <c r="T266" s="97"/>
      <c r="U266" s="97"/>
      <c r="V266" s="97"/>
      <c r="W266" s="98">
        <f t="shared" si="941"/>
        <v>0</v>
      </c>
      <c r="X266" s="97"/>
      <c r="Y266" s="97"/>
      <c r="Z266" s="97"/>
      <c r="AA266" s="97"/>
      <c r="AB266" s="98">
        <f t="shared" si="942"/>
        <v>0</v>
      </c>
      <c r="AC266" s="97"/>
      <c r="AD266" s="97"/>
      <c r="AE266" s="97"/>
      <c r="AF266" s="97"/>
      <c r="AG266" s="98">
        <f t="shared" si="943"/>
        <v>0</v>
      </c>
      <c r="AH266" s="97"/>
      <c r="AI266" s="97"/>
      <c r="AJ266" s="97"/>
      <c r="AK266" s="97"/>
      <c r="AL266" s="98">
        <f t="shared" si="944"/>
        <v>0</v>
      </c>
    </row>
    <row r="267" spans="1:38" outlineLevel="1" x14ac:dyDescent="0.25">
      <c r="A267" s="293"/>
      <c r="B267" s="339" t="s">
        <v>305</v>
      </c>
      <c r="C267" s="340"/>
      <c r="D267" s="97"/>
      <c r="E267" s="97">
        <v>75</v>
      </c>
      <c r="F267" s="97">
        <v>0</v>
      </c>
      <c r="G267" s="97">
        <f>0-F267-E267-D267</f>
        <v>-75</v>
      </c>
      <c r="H267" s="98">
        <f t="shared" si="938"/>
        <v>0</v>
      </c>
      <c r="I267" s="97">
        <f>398.9+99</f>
        <v>497.9</v>
      </c>
      <c r="J267" s="97">
        <f>613+494.1-I267</f>
        <v>609.19999999999993</v>
      </c>
      <c r="K267" s="97">
        <f t="shared" ref="K267" si="946">0-J267-I267</f>
        <v>-1107.0999999999999</v>
      </c>
      <c r="L267" s="97"/>
      <c r="M267" s="98">
        <f t="shared" si="939"/>
        <v>0</v>
      </c>
      <c r="N267" s="97"/>
      <c r="O267" s="97"/>
      <c r="P267" s="97"/>
      <c r="Q267" s="97"/>
      <c r="R267" s="98">
        <f t="shared" si="940"/>
        <v>0</v>
      </c>
      <c r="S267" s="97"/>
      <c r="T267" s="97"/>
      <c r="U267" s="97"/>
      <c r="V267" s="97"/>
      <c r="W267" s="98">
        <f t="shared" si="941"/>
        <v>0</v>
      </c>
      <c r="X267" s="97"/>
      <c r="Y267" s="97"/>
      <c r="Z267" s="97"/>
      <c r="AA267" s="97"/>
      <c r="AB267" s="98">
        <f t="shared" si="942"/>
        <v>0</v>
      </c>
      <c r="AC267" s="97"/>
      <c r="AD267" s="97"/>
      <c r="AE267" s="97"/>
      <c r="AF267" s="97"/>
      <c r="AG267" s="98">
        <f t="shared" si="943"/>
        <v>0</v>
      </c>
      <c r="AH267" s="97"/>
      <c r="AI267" s="97"/>
      <c r="AJ267" s="97"/>
      <c r="AK267" s="97"/>
      <c r="AL267" s="98">
        <f t="shared" si="944"/>
        <v>0</v>
      </c>
    </row>
    <row r="268" spans="1:38" outlineLevel="1" x14ac:dyDescent="0.25">
      <c r="A268" s="293"/>
      <c r="B268" s="57" t="s">
        <v>239</v>
      </c>
      <c r="C268" s="51"/>
      <c r="D268" s="97">
        <v>108.4</v>
      </c>
      <c r="E268" s="97">
        <f>275.7-D268</f>
        <v>167.29999999999998</v>
      </c>
      <c r="F268" s="97">
        <f>358.5-E268-D268</f>
        <v>82.800000000000011</v>
      </c>
      <c r="G268" s="97">
        <f>409.8-F268-E268-D268</f>
        <v>51.300000000000011</v>
      </c>
      <c r="H268" s="98">
        <f t="shared" si="938"/>
        <v>409.8</v>
      </c>
      <c r="I268" s="97">
        <v>33.1</v>
      </c>
      <c r="J268" s="97">
        <f>65.4-I268</f>
        <v>32.300000000000004</v>
      </c>
      <c r="K268" s="97">
        <f>98.9-J268-I268</f>
        <v>33.499999999999993</v>
      </c>
      <c r="L268" s="97">
        <v>0</v>
      </c>
      <c r="M268" s="98">
        <f t="shared" si="939"/>
        <v>98.9</v>
      </c>
      <c r="N268" s="97">
        <v>0</v>
      </c>
      <c r="O268" s="97">
        <v>0</v>
      </c>
      <c r="P268" s="97">
        <v>0</v>
      </c>
      <c r="Q268" s="97">
        <v>0</v>
      </c>
      <c r="R268" s="98">
        <f t="shared" si="940"/>
        <v>0</v>
      </c>
      <c r="S268" s="97">
        <v>0</v>
      </c>
      <c r="T268" s="97">
        <v>0</v>
      </c>
      <c r="U268" s="97">
        <v>0</v>
      </c>
      <c r="V268" s="97">
        <v>0</v>
      </c>
      <c r="W268" s="98">
        <f t="shared" si="941"/>
        <v>0</v>
      </c>
      <c r="X268" s="97">
        <v>0</v>
      </c>
      <c r="Y268" s="97">
        <v>0</v>
      </c>
      <c r="Z268" s="97">
        <v>0</v>
      </c>
      <c r="AA268" s="97">
        <v>0</v>
      </c>
      <c r="AB268" s="98">
        <f t="shared" si="942"/>
        <v>0</v>
      </c>
      <c r="AC268" s="97">
        <v>0</v>
      </c>
      <c r="AD268" s="97">
        <v>0</v>
      </c>
      <c r="AE268" s="97">
        <v>0</v>
      </c>
      <c r="AF268" s="97">
        <v>0</v>
      </c>
      <c r="AG268" s="98">
        <f t="shared" si="943"/>
        <v>0</v>
      </c>
      <c r="AH268" s="97">
        <v>0</v>
      </c>
      <c r="AI268" s="97">
        <v>0</v>
      </c>
      <c r="AJ268" s="97">
        <v>0</v>
      </c>
      <c r="AK268" s="97">
        <v>0</v>
      </c>
      <c r="AL268" s="98">
        <f t="shared" si="944"/>
        <v>0</v>
      </c>
    </row>
    <row r="269" spans="1:38" outlineLevel="1" x14ac:dyDescent="0.25">
      <c r="A269" s="293"/>
      <c r="B269" s="57" t="s">
        <v>245</v>
      </c>
      <c r="C269" s="51"/>
      <c r="D269" s="97">
        <v>-446.7</v>
      </c>
      <c r="E269" s="97">
        <f>-894.5-D269</f>
        <v>-447.8</v>
      </c>
      <c r="F269" s="97">
        <f>-1330.7-E269-D269</f>
        <v>-436.2000000000001</v>
      </c>
      <c r="G269" s="97">
        <f>-1761.3-F269-E269-D269</f>
        <v>-430.59999999999997</v>
      </c>
      <c r="H269" s="98">
        <f t="shared" si="938"/>
        <v>-1761.3</v>
      </c>
      <c r="I269" s="97">
        <v>-484.2</v>
      </c>
      <c r="J269" s="97">
        <f>-965.2-I269</f>
        <v>-481.00000000000006</v>
      </c>
      <c r="K269" s="97">
        <f>-1444.2-J269-I269</f>
        <v>-479.00000000000006</v>
      </c>
      <c r="L269" s="97">
        <f>-L44*L39</f>
        <v>-526.49174648994529</v>
      </c>
      <c r="M269" s="98">
        <f t="shared" si="939"/>
        <v>-1970.6917464899452</v>
      </c>
      <c r="N269" s="97">
        <f>-N44*N39</f>
        <v>-523.51114170930123</v>
      </c>
      <c r="O269" s="97">
        <f>-O44*O39</f>
        <v>-521.86998437643695</v>
      </c>
      <c r="P269" s="97">
        <f>-P44*P39</f>
        <v>-520.11156656012918</v>
      </c>
      <c r="Q269" s="97">
        <f>-Q44*Q39</f>
        <v>-544.34698026835201</v>
      </c>
      <c r="R269" s="98">
        <f t="shared" si="940"/>
        <v>-2109.8396729142196</v>
      </c>
      <c r="S269" s="97">
        <f>-S44*S39</f>
        <v>-542.25484781689704</v>
      </c>
      <c r="T269" s="97">
        <f>-T44*T39</f>
        <v>-540.40750054125942</v>
      </c>
      <c r="U269" s="97">
        <f>-U44*U39</f>
        <v>-538.52969214784855</v>
      </c>
      <c r="V269" s="97">
        <f>-V44*V39</f>
        <v>-563.47641266877667</v>
      </c>
      <c r="W269" s="98">
        <f t="shared" si="941"/>
        <v>-2184.6684531747815</v>
      </c>
      <c r="X269" s="97">
        <f>-X44*X39</f>
        <v>-561.46695518465401</v>
      </c>
      <c r="Y269" s="97">
        <f>-Y44*Y39</f>
        <v>-559.50354810169028</v>
      </c>
      <c r="Z269" s="97">
        <f>-Z44*Z39</f>
        <v>-557.53437421811077</v>
      </c>
      <c r="AA269" s="97">
        <f>-AA44*AA39</f>
        <v>-583.34416883075392</v>
      </c>
      <c r="AB269" s="98">
        <f t="shared" si="942"/>
        <v>-2261.8490463352091</v>
      </c>
      <c r="AC269" s="97">
        <f>-AC44*AC39</f>
        <v>-581.28020761328253</v>
      </c>
      <c r="AD269" s="97">
        <f>-AD44*AD39</f>
        <v>-579.22759493313163</v>
      </c>
      <c r="AE269" s="97">
        <f>-AE44*AE39</f>
        <v>-577.17724134715513</v>
      </c>
      <c r="AF269" s="97">
        <f>-AF44*AF39</f>
        <v>-603.88774850687059</v>
      </c>
      <c r="AG269" s="98">
        <f t="shared" si="943"/>
        <v>-2341.5727924004395</v>
      </c>
      <c r="AH269" s="97">
        <f>-AH44*AH39</f>
        <v>-601.74483640898586</v>
      </c>
      <c r="AI269" s="97">
        <f>-AI44*AI39</f>
        <v>-599.60793965959851</v>
      </c>
      <c r="AJ269" s="97">
        <f>-AJ44*AJ39</f>
        <v>-597.47560886241865</v>
      </c>
      <c r="AK269" s="97">
        <f>-AK44*AK39</f>
        <v>-625.11580186228548</v>
      </c>
      <c r="AL269" s="98">
        <f t="shared" si="944"/>
        <v>-2423.9441867932883</v>
      </c>
    </row>
    <row r="270" spans="1:38" outlineLevel="1" x14ac:dyDescent="0.25">
      <c r="A270" s="293"/>
      <c r="B270" s="57" t="s">
        <v>114</v>
      </c>
      <c r="C270" s="166"/>
      <c r="D270" s="97">
        <v>-5114.7</v>
      </c>
      <c r="E270" s="97">
        <f>-7827.9-D270</f>
        <v>-2713.2</v>
      </c>
      <c r="F270" s="97">
        <f>-7972.9-E270-D270</f>
        <v>-145</v>
      </c>
      <c r="G270" s="97">
        <f>-10222.3-F270-E270-D270</f>
        <v>-2249.3999999999996</v>
      </c>
      <c r="H270" s="98">
        <f>SUM(D270:G270)</f>
        <v>-10222.299999999999</v>
      </c>
      <c r="I270" s="97">
        <v>-1091.4000000000001</v>
      </c>
      <c r="J270" s="97">
        <f>-1698.9-I270</f>
        <v>-607.5</v>
      </c>
      <c r="K270" s="97">
        <f>-1698.9-J270-I270</f>
        <v>0</v>
      </c>
      <c r="L270" s="97">
        <f>-L161</f>
        <v>-100</v>
      </c>
      <c r="M270" s="98">
        <f>SUM(I270:L270)</f>
        <v>-1798.9</v>
      </c>
      <c r="N270" s="97">
        <f>-N161</f>
        <v>-100</v>
      </c>
      <c r="O270" s="97">
        <f>-O161</f>
        <v>-100</v>
      </c>
      <c r="P270" s="97">
        <f>-P161</f>
        <v>-100</v>
      </c>
      <c r="Q270" s="97">
        <f>-Q161</f>
        <v>-100</v>
      </c>
      <c r="R270" s="98">
        <f>SUM(N270:Q270)</f>
        <v>-400</v>
      </c>
      <c r="S270" s="97">
        <f>-S161</f>
        <v>-100</v>
      </c>
      <c r="T270" s="97">
        <f>-T161</f>
        <v>-100</v>
      </c>
      <c r="U270" s="97">
        <f>-U161</f>
        <v>-100</v>
      </c>
      <c r="V270" s="97">
        <f>-V161</f>
        <v>-100</v>
      </c>
      <c r="W270" s="98">
        <f>SUM(S270:V270)</f>
        <v>-400</v>
      </c>
      <c r="X270" s="97">
        <f>-X161</f>
        <v>-100</v>
      </c>
      <c r="Y270" s="97">
        <f>-Y161</f>
        <v>-100</v>
      </c>
      <c r="Z270" s="97">
        <f>-Z161</f>
        <v>-100</v>
      </c>
      <c r="AA270" s="97">
        <f>-AA161</f>
        <v>-100</v>
      </c>
      <c r="AB270" s="98">
        <f>SUM(X270:AA270)</f>
        <v>-400</v>
      </c>
      <c r="AC270" s="97">
        <f>-AC161</f>
        <v>-100</v>
      </c>
      <c r="AD270" s="97">
        <f>-AD161</f>
        <v>-100</v>
      </c>
      <c r="AE270" s="97">
        <f>-AE161</f>
        <v>-100</v>
      </c>
      <c r="AF270" s="97">
        <f>-AF161</f>
        <v>-100</v>
      </c>
      <c r="AG270" s="98">
        <f>SUM(AC270:AF270)</f>
        <v>-400</v>
      </c>
      <c r="AH270" s="97">
        <f>-AH161</f>
        <v>-100</v>
      </c>
      <c r="AI270" s="97">
        <f>-AI161</f>
        <v>-100</v>
      </c>
      <c r="AJ270" s="97">
        <f>-AJ161</f>
        <v>-100</v>
      </c>
      <c r="AK270" s="97">
        <f>-AK161</f>
        <v>-100</v>
      </c>
      <c r="AL270" s="98">
        <f>SUM(AH270:AK270)</f>
        <v>-400</v>
      </c>
    </row>
    <row r="271" spans="1:38" outlineLevel="1" x14ac:dyDescent="0.25">
      <c r="A271" s="293"/>
      <c r="B271" s="57" t="s">
        <v>278</v>
      </c>
      <c r="C271" s="87"/>
      <c r="D271" s="97">
        <v>-55.3</v>
      </c>
      <c r="E271" s="97">
        <f>-56.3-D271</f>
        <v>-1</v>
      </c>
      <c r="F271" s="97">
        <f>-106.1-E271-D271</f>
        <v>-49.8</v>
      </c>
      <c r="G271" s="97">
        <f>-111.6-F271-E271-D271</f>
        <v>-5.5</v>
      </c>
      <c r="H271" s="98">
        <f t="shared" ref="H271" si="947">SUM(D271:G271)</f>
        <v>-111.6</v>
      </c>
      <c r="I271" s="97">
        <v>-78.400000000000006</v>
      </c>
      <c r="J271" s="97">
        <f>-87.6-I271</f>
        <v>-9.1999999999999886</v>
      </c>
      <c r="K271" s="97">
        <f>-89.1-J271-I271</f>
        <v>-1.5</v>
      </c>
      <c r="L271" s="97">
        <f>(K271/K248)*L248</f>
        <v>-2.1618887789667012</v>
      </c>
      <c r="M271" s="98">
        <f t="shared" ref="M271" si="948">SUM(I271:L271)</f>
        <v>-91.261888778966693</v>
      </c>
      <c r="N271" s="97">
        <f>(L271/L248)*N248</f>
        <v>-2.6361736996890754</v>
      </c>
      <c r="O271" s="97">
        <f>(N271/N248)*O248</f>
        <v>-2.4267609173966922</v>
      </c>
      <c r="P271" s="97">
        <f>(O271/O248)*P248</f>
        <v>-2.5223469246220471</v>
      </c>
      <c r="Q271" s="97">
        <f>(P271/P248)*Q248</f>
        <v>-2.6336286501416586</v>
      </c>
      <c r="R271" s="98">
        <f t="shared" ref="R271" si="949">SUM(N271:Q271)</f>
        <v>-10.218910191849474</v>
      </c>
      <c r="S271" s="97">
        <f>(Q271/Q248)*S248</f>
        <v>-2.8801294056288111</v>
      </c>
      <c r="T271" s="97">
        <f>(S271/S248)*T248</f>
        <v>-2.6089218278783144</v>
      </c>
      <c r="U271" s="97">
        <f>(T271/T248)*U248</f>
        <v>-2.6790735754227697</v>
      </c>
      <c r="V271" s="97">
        <f>(U271/U248)*V248</f>
        <v>-2.7897847528867086</v>
      </c>
      <c r="W271" s="98">
        <f t="shared" ref="W271" si="950">SUM(S271:V271)</f>
        <v>-10.957909561816605</v>
      </c>
      <c r="X271" s="97">
        <f>(V271/V248)*X248</f>
        <v>-3.0529553997247483</v>
      </c>
      <c r="Y271" s="97">
        <f>(X271/X248)*Y248</f>
        <v>-2.7840066473761227</v>
      </c>
      <c r="Z271" s="97">
        <f>(Y271/Y248)*Z248</f>
        <v>-2.8546336406910582</v>
      </c>
      <c r="AA271" s="97">
        <f>(Z271/Z248)*AA248</f>
        <v>-2.9732905440047177</v>
      </c>
      <c r="AB271" s="98">
        <f t="shared" ref="AB271" si="951">SUM(X271:AA271)</f>
        <v>-11.664886231796645</v>
      </c>
      <c r="AC271" s="97">
        <f>(AA271/AA248)*AC248</f>
        <v>-3.2523609501980943</v>
      </c>
      <c r="AD271" s="97">
        <f>(AC271/AC248)*AD248</f>
        <v>-2.9677275388793438</v>
      </c>
      <c r="AE271" s="97">
        <f>(AD271/AD248)*AE248</f>
        <v>-3.0452650988528447</v>
      </c>
      <c r="AF271" s="97">
        <f>(AE271/AE248)*AF248</f>
        <v>-3.173200712751493</v>
      </c>
      <c r="AG271" s="98">
        <f t="shared" ref="AG271" si="952">SUM(AC271:AF271)</f>
        <v>-12.438554300681776</v>
      </c>
      <c r="AH271" s="97">
        <f>(AF271/AF248)*AH248</f>
        <v>-3.4762016874769741</v>
      </c>
      <c r="AI271" s="97">
        <f>(AH271/AH248)*AI248</f>
        <v>-3.1703687809107057</v>
      </c>
      <c r="AJ271" s="97">
        <f>(AI271/AI248)*AJ248</f>
        <v>-3.2569739113730143</v>
      </c>
      <c r="AK271" s="97">
        <f>(AJ271/AJ248)*AK248</f>
        <v>-3.3949923727587681</v>
      </c>
      <c r="AL271" s="98">
        <f t="shared" ref="AL271" si="953">SUM(AH271:AK271)</f>
        <v>-13.298536752519462</v>
      </c>
    </row>
    <row r="272" spans="1:38" ht="17.25" outlineLevel="1" x14ac:dyDescent="0.4">
      <c r="A272" s="293"/>
      <c r="B272" s="514" t="s">
        <v>115</v>
      </c>
      <c r="C272" s="515"/>
      <c r="D272" s="274">
        <v>-0.3</v>
      </c>
      <c r="E272" s="274">
        <f>0.1-D272</f>
        <v>0.4</v>
      </c>
      <c r="F272" s="274">
        <f>-17.6-E272-D272</f>
        <v>-17.7</v>
      </c>
      <c r="G272" s="274">
        <f>-17.5-F272-E272-D272</f>
        <v>9.9999999999999256E-2</v>
      </c>
      <c r="H272" s="267">
        <f t="shared" ref="H272" si="954">SUM(D272:G272)</f>
        <v>-17.5</v>
      </c>
      <c r="I272" s="274">
        <v>0</v>
      </c>
      <c r="J272" s="274">
        <f>-10.4-I272</f>
        <v>-10.4</v>
      </c>
      <c r="K272" s="274">
        <f>-37.8-J272-I272</f>
        <v>-27.4</v>
      </c>
      <c r="L272" s="274">
        <v>0</v>
      </c>
      <c r="M272" s="267">
        <f t="shared" ref="M272" si="955">SUM(I272:L272)</f>
        <v>-37.799999999999997</v>
      </c>
      <c r="N272" s="274">
        <v>0</v>
      </c>
      <c r="O272" s="274">
        <v>0</v>
      </c>
      <c r="P272" s="274">
        <v>0</v>
      </c>
      <c r="Q272" s="274">
        <v>0</v>
      </c>
      <c r="R272" s="267">
        <f t="shared" ref="R272" si="956">SUM(N272:Q272)</f>
        <v>0</v>
      </c>
      <c r="S272" s="274">
        <v>0</v>
      </c>
      <c r="T272" s="274">
        <v>0</v>
      </c>
      <c r="U272" s="274">
        <v>0</v>
      </c>
      <c r="V272" s="274">
        <v>0</v>
      </c>
      <c r="W272" s="267">
        <f t="shared" ref="W272" si="957">SUM(S272:V272)</f>
        <v>0</v>
      </c>
      <c r="X272" s="274">
        <v>0</v>
      </c>
      <c r="Y272" s="274">
        <v>0</v>
      </c>
      <c r="Z272" s="274">
        <v>0</v>
      </c>
      <c r="AA272" s="274">
        <v>0</v>
      </c>
      <c r="AB272" s="267">
        <f t="shared" ref="AB272" si="958">SUM(X272:AA272)</f>
        <v>0</v>
      </c>
      <c r="AC272" s="274">
        <v>0</v>
      </c>
      <c r="AD272" s="274">
        <v>0</v>
      </c>
      <c r="AE272" s="274">
        <v>0</v>
      </c>
      <c r="AF272" s="274">
        <v>0</v>
      </c>
      <c r="AG272" s="267">
        <f t="shared" ref="AG272" si="959">SUM(AC272:AF272)</f>
        <v>0</v>
      </c>
      <c r="AH272" s="274">
        <v>0</v>
      </c>
      <c r="AI272" s="274">
        <v>0</v>
      </c>
      <c r="AJ272" s="274">
        <v>0</v>
      </c>
      <c r="AK272" s="274">
        <v>0</v>
      </c>
      <c r="AL272" s="267">
        <f t="shared" ref="AL272" si="960">SUM(AH272:AK272)</f>
        <v>0</v>
      </c>
    </row>
    <row r="273" spans="1:38" outlineLevel="1" x14ac:dyDescent="0.25">
      <c r="A273" s="293"/>
      <c r="B273" s="519" t="s">
        <v>16</v>
      </c>
      <c r="C273" s="520"/>
      <c r="D273" s="96">
        <f t="shared" ref="D273:AB273" si="961">SUM(D265:D272)</f>
        <v>-5858.6</v>
      </c>
      <c r="E273" s="96">
        <f t="shared" si="961"/>
        <v>-2919.2999999999997</v>
      </c>
      <c r="F273" s="96">
        <f t="shared" si="961"/>
        <v>1355.1</v>
      </c>
      <c r="G273" s="96">
        <f t="shared" si="961"/>
        <v>-2634.1</v>
      </c>
      <c r="H273" s="268">
        <f t="shared" si="961"/>
        <v>-10056.9</v>
      </c>
      <c r="I273" s="96">
        <f t="shared" si="961"/>
        <v>-1123.0000000000002</v>
      </c>
      <c r="J273" s="96">
        <f t="shared" si="961"/>
        <v>1273.1000000000001</v>
      </c>
      <c r="K273" s="96">
        <f t="shared" si="961"/>
        <v>2342.9000000000005</v>
      </c>
      <c r="L273" s="96">
        <f t="shared" si="961"/>
        <v>-1065.653635268912</v>
      </c>
      <c r="M273" s="268">
        <f t="shared" si="961"/>
        <v>1427.346364731088</v>
      </c>
      <c r="N273" s="96">
        <f t="shared" si="961"/>
        <v>-1063.1473154089904</v>
      </c>
      <c r="O273" s="96">
        <f t="shared" si="961"/>
        <v>-1061.2967452938337</v>
      </c>
      <c r="P273" s="96">
        <f t="shared" si="961"/>
        <v>-1059.6339134847512</v>
      </c>
      <c r="Q273" s="96">
        <f t="shared" si="961"/>
        <v>-1085.0806089184937</v>
      </c>
      <c r="R273" s="268">
        <f t="shared" si="961"/>
        <v>-4269.1585831060684</v>
      </c>
      <c r="S273" s="96">
        <f t="shared" si="961"/>
        <v>-895.13497722252589</v>
      </c>
      <c r="T273" s="96">
        <f t="shared" si="961"/>
        <v>-893.01642236913779</v>
      </c>
      <c r="U273" s="96">
        <f t="shared" si="961"/>
        <v>-891.20876572327131</v>
      </c>
      <c r="V273" s="96">
        <f t="shared" si="961"/>
        <v>-916.26619742166338</v>
      </c>
      <c r="W273" s="268">
        <f t="shared" si="961"/>
        <v>-3595.6263627365979</v>
      </c>
      <c r="X273" s="96">
        <f t="shared" si="961"/>
        <v>-914.51991058437875</v>
      </c>
      <c r="Y273" s="96">
        <f t="shared" si="961"/>
        <v>-912.28755474906643</v>
      </c>
      <c r="Z273" s="96">
        <f t="shared" si="961"/>
        <v>-910.38900785880185</v>
      </c>
      <c r="AA273" s="96">
        <f t="shared" si="961"/>
        <v>-936.31745937475864</v>
      </c>
      <c r="AB273" s="268">
        <f t="shared" si="961"/>
        <v>-3673.5139325670057</v>
      </c>
      <c r="AC273" s="96">
        <f t="shared" ref="AC273:AG273" si="962">SUM(AC265:AC272)</f>
        <v>-1070.2825685634807</v>
      </c>
      <c r="AD273" s="96">
        <f t="shared" si="962"/>
        <v>-1067.945322472011</v>
      </c>
      <c r="AE273" s="96">
        <f t="shared" si="962"/>
        <v>-1065.9725064460081</v>
      </c>
      <c r="AF273" s="96">
        <f t="shared" si="962"/>
        <v>-1092.810949219622</v>
      </c>
      <c r="AG273" s="268">
        <f t="shared" si="962"/>
        <v>-4297.0113467011215</v>
      </c>
      <c r="AH273" s="96">
        <f t="shared" ref="AH273:AL273" si="963">SUM(AH265:AH272)</f>
        <v>-1455.221038096463</v>
      </c>
      <c r="AI273" s="96">
        <f t="shared" si="963"/>
        <v>-1452.7783084405091</v>
      </c>
      <c r="AJ273" s="96">
        <f t="shared" si="963"/>
        <v>-1450.7325827737916</v>
      </c>
      <c r="AK273" s="96">
        <f t="shared" si="963"/>
        <v>-1478.5107942350442</v>
      </c>
      <c r="AL273" s="268">
        <f t="shared" si="963"/>
        <v>-5837.2427235458081</v>
      </c>
    </row>
    <row r="274" spans="1:38" outlineLevel="1" x14ac:dyDescent="0.25">
      <c r="A274" s="293"/>
      <c r="B274" s="88" t="s">
        <v>117</v>
      </c>
      <c r="C274" s="89"/>
      <c r="D274" s="431">
        <f>-4.7-0.1</f>
        <v>-4.8</v>
      </c>
      <c r="E274" s="351">
        <f>18.3-0.1-D274</f>
        <v>23</v>
      </c>
      <c r="F274" s="351">
        <f>-2.5-E274-D274</f>
        <v>-20.7</v>
      </c>
      <c r="G274" s="351">
        <f>-49-F274-E274-D274</f>
        <v>-46.5</v>
      </c>
      <c r="H274" s="275">
        <f>SUM(D274:G274)</f>
        <v>-49</v>
      </c>
      <c r="I274" s="351">
        <v>27.1</v>
      </c>
      <c r="J274" s="351">
        <f>8.7-I274</f>
        <v>-18.400000000000002</v>
      </c>
      <c r="K274" s="351">
        <f>10.9-J274-I274</f>
        <v>2.2000000000000028</v>
      </c>
      <c r="L274" s="276">
        <v>0</v>
      </c>
      <c r="M274" s="275">
        <f>SUM(I274:L274)</f>
        <v>10.900000000000002</v>
      </c>
      <c r="N274" s="276">
        <v>0</v>
      </c>
      <c r="O274" s="276">
        <v>0</v>
      </c>
      <c r="P274" s="276">
        <v>0</v>
      </c>
      <c r="Q274" s="276">
        <v>0</v>
      </c>
      <c r="R274" s="275">
        <f>SUM(N274:Q274)</f>
        <v>0</v>
      </c>
      <c r="S274" s="276">
        <v>0</v>
      </c>
      <c r="T274" s="276">
        <v>0</v>
      </c>
      <c r="U274" s="276">
        <v>0</v>
      </c>
      <c r="V274" s="276">
        <v>0</v>
      </c>
      <c r="W274" s="275">
        <f>SUM(S274:V274)</f>
        <v>0</v>
      </c>
      <c r="X274" s="276">
        <v>0</v>
      </c>
      <c r="Y274" s="276">
        <v>0</v>
      </c>
      <c r="Z274" s="276">
        <v>0</v>
      </c>
      <c r="AA274" s="276">
        <v>0</v>
      </c>
      <c r="AB274" s="275">
        <f>SUM(X274:AA274)</f>
        <v>0</v>
      </c>
      <c r="AC274" s="276">
        <v>0</v>
      </c>
      <c r="AD274" s="276">
        <v>0</v>
      </c>
      <c r="AE274" s="276">
        <v>0</v>
      </c>
      <c r="AF274" s="276">
        <v>0</v>
      </c>
      <c r="AG274" s="275">
        <f>SUM(AC274:AF274)</f>
        <v>0</v>
      </c>
      <c r="AH274" s="276">
        <v>0</v>
      </c>
      <c r="AI274" s="276">
        <v>0</v>
      </c>
      <c r="AJ274" s="276">
        <v>0</v>
      </c>
      <c r="AK274" s="276">
        <v>0</v>
      </c>
      <c r="AL274" s="275">
        <f>SUM(AH274:AK274)</f>
        <v>0</v>
      </c>
    </row>
    <row r="275" spans="1:38" ht="17.25" outlineLevel="1" x14ac:dyDescent="0.4">
      <c r="A275" s="293"/>
      <c r="B275" s="510" t="s">
        <v>17</v>
      </c>
      <c r="C275" s="511"/>
      <c r="D275" s="40">
        <f t="shared" ref="D275:AB275" si="964">D273+D263+D258+D274</f>
        <v>-3994.7999999999997</v>
      </c>
      <c r="E275" s="40">
        <f t="shared" si="964"/>
        <v>-2706.5</v>
      </c>
      <c r="F275" s="40">
        <f t="shared" si="964"/>
        <v>2708.3000000000011</v>
      </c>
      <c r="G275" s="40">
        <f t="shared" si="964"/>
        <v>-2076.7999999999993</v>
      </c>
      <c r="H275" s="41">
        <f t="shared" si="964"/>
        <v>-6069.7999999999938</v>
      </c>
      <c r="I275" s="40">
        <f t="shared" si="964"/>
        <v>353.89999999999839</v>
      </c>
      <c r="J275" s="40">
        <f t="shared" si="964"/>
        <v>-468.20000000000061</v>
      </c>
      <c r="K275" s="40">
        <f t="shared" si="964"/>
        <v>1393.600000000001</v>
      </c>
      <c r="L275" s="40">
        <f t="shared" si="964"/>
        <v>-279.08140933549942</v>
      </c>
      <c r="M275" s="41">
        <f t="shared" si="964"/>
        <v>1000.2185906645028</v>
      </c>
      <c r="N275" s="40">
        <f t="shared" si="964"/>
        <v>188.66287117968295</v>
      </c>
      <c r="O275" s="40">
        <f t="shared" si="964"/>
        <v>-702.66741661751882</v>
      </c>
      <c r="P275" s="40">
        <f t="shared" si="964"/>
        <v>-476.91730786336757</v>
      </c>
      <c r="Q275" s="40">
        <f t="shared" si="964"/>
        <v>-34.327160948201254</v>
      </c>
      <c r="R275" s="41">
        <f t="shared" si="964"/>
        <v>-1025.2490142494044</v>
      </c>
      <c r="S275" s="40">
        <f t="shared" si="964"/>
        <v>446.00678972099354</v>
      </c>
      <c r="T275" s="40">
        <f t="shared" si="964"/>
        <v>-314.79204538789361</v>
      </c>
      <c r="U275" s="40">
        <f t="shared" si="964"/>
        <v>49.247333833840685</v>
      </c>
      <c r="V275" s="40">
        <f t="shared" si="964"/>
        <v>89.182363964231627</v>
      </c>
      <c r="W275" s="41">
        <f t="shared" si="964"/>
        <v>269.64444213117531</v>
      </c>
      <c r="X275" s="40">
        <f t="shared" si="964"/>
        <v>655.12731474814973</v>
      </c>
      <c r="Y275" s="40">
        <f t="shared" si="964"/>
        <v>-245.96219848372334</v>
      </c>
      <c r="Z275" s="40">
        <f t="shared" si="964"/>
        <v>195.55975774816397</v>
      </c>
      <c r="AA275" s="40">
        <f t="shared" si="964"/>
        <v>240.19947485171565</v>
      </c>
      <c r="AB275" s="41">
        <f t="shared" si="964"/>
        <v>844.92434886430237</v>
      </c>
      <c r="AC275" s="40">
        <f t="shared" ref="AC275:AG275" si="965">AC273+AC263+AC258+AC274</f>
        <v>670.3295321278988</v>
      </c>
      <c r="AD275" s="40">
        <f t="shared" si="965"/>
        <v>-294.08096727458405</v>
      </c>
      <c r="AE275" s="40">
        <f t="shared" si="965"/>
        <v>140.64095312045401</v>
      </c>
      <c r="AF275" s="40">
        <f t="shared" si="965"/>
        <v>233.53946511505796</v>
      </c>
      <c r="AG275" s="41">
        <f t="shared" si="965"/>
        <v>750.42898308883287</v>
      </c>
      <c r="AH275" s="40">
        <f t="shared" ref="AH275:AL275" si="966">AH273+AH263+AH258+AH274</f>
        <v>440.80322982573807</v>
      </c>
      <c r="AI275" s="40">
        <f t="shared" si="966"/>
        <v>-577.235752481693</v>
      </c>
      <c r="AJ275" s="40">
        <f t="shared" si="966"/>
        <v>-93.747523966206018</v>
      </c>
      <c r="AK275" s="40">
        <f t="shared" si="966"/>
        <v>-53.26653329067608</v>
      </c>
      <c r="AL275" s="41">
        <f t="shared" si="966"/>
        <v>-283.44657991284294</v>
      </c>
    </row>
    <row r="276" spans="1:38" ht="17.25" outlineLevel="1" x14ac:dyDescent="0.4">
      <c r="A276" s="293"/>
      <c r="B276" s="510" t="s">
        <v>18</v>
      </c>
      <c r="C276" s="511"/>
      <c r="D276" s="40">
        <v>8756.2999999999993</v>
      </c>
      <c r="E276" s="40">
        <f>D277</f>
        <v>4761.6000000000004</v>
      </c>
      <c r="F276" s="40">
        <f>E277</f>
        <v>2055.1000000000004</v>
      </c>
      <c r="G276" s="40">
        <f>F277</f>
        <v>4763.4000000000015</v>
      </c>
      <c r="H276" s="41">
        <f>D276</f>
        <v>8756.2999999999993</v>
      </c>
      <c r="I276" s="310">
        <f>H277</f>
        <v>2686.5000000000055</v>
      </c>
      <c r="J276" s="40">
        <f>I277</f>
        <v>3040.5000000000036</v>
      </c>
      <c r="K276" s="40">
        <f>J277</f>
        <v>2572.3000000000029</v>
      </c>
      <c r="L276" s="40">
        <f>K277</f>
        <v>3965.9000000000042</v>
      </c>
      <c r="M276" s="41">
        <f>H277</f>
        <v>2686.5000000000055</v>
      </c>
      <c r="N276" s="40">
        <f>+M277</f>
        <v>3686.7185906645082</v>
      </c>
      <c r="O276" s="40">
        <f>N277</f>
        <v>3875.3814618441911</v>
      </c>
      <c r="P276" s="40">
        <f>O277</f>
        <v>3172.7140452266722</v>
      </c>
      <c r="Q276" s="40">
        <f>P277</f>
        <v>2695.7967373633046</v>
      </c>
      <c r="R276" s="41">
        <f>M277</f>
        <v>3686.7185906645082</v>
      </c>
      <c r="S276" s="40">
        <f>+R277</f>
        <v>2661.4695764151038</v>
      </c>
      <c r="T276" s="40">
        <f>S277</f>
        <v>3107.4763661360976</v>
      </c>
      <c r="U276" s="40">
        <f>T277</f>
        <v>2792.6843207482038</v>
      </c>
      <c r="V276" s="40">
        <f>U277</f>
        <v>2841.9316545820448</v>
      </c>
      <c r="W276" s="41">
        <f>R277</f>
        <v>2661.4695764151038</v>
      </c>
      <c r="X276" s="40">
        <f>+W277</f>
        <v>2931.1140185462791</v>
      </c>
      <c r="Y276" s="40">
        <f>X277</f>
        <v>3586.2413332944288</v>
      </c>
      <c r="Z276" s="40">
        <f>Y277</f>
        <v>3340.2791348107057</v>
      </c>
      <c r="AA276" s="40">
        <f>Z277</f>
        <v>3535.8388925588697</v>
      </c>
      <c r="AB276" s="41">
        <f>W277</f>
        <v>2931.1140185462791</v>
      </c>
      <c r="AC276" s="40">
        <f>+AB277</f>
        <v>3776.0383674105815</v>
      </c>
      <c r="AD276" s="40">
        <f>AC277</f>
        <v>4446.3678995384798</v>
      </c>
      <c r="AE276" s="40">
        <f>AD277</f>
        <v>4152.2869322638962</v>
      </c>
      <c r="AF276" s="40">
        <f>AE277</f>
        <v>4292.9278853843498</v>
      </c>
      <c r="AG276" s="41">
        <f>AB277</f>
        <v>3776.0383674105815</v>
      </c>
      <c r="AH276" s="40">
        <f>+AG277</f>
        <v>4526.4673504994144</v>
      </c>
      <c r="AI276" s="40">
        <f>AH277</f>
        <v>4967.270580325152</v>
      </c>
      <c r="AJ276" s="40">
        <f>AI277</f>
        <v>4390.0348278434594</v>
      </c>
      <c r="AK276" s="40">
        <f>AJ277</f>
        <v>4296.2873038772532</v>
      </c>
      <c r="AL276" s="41">
        <f>AG277</f>
        <v>4526.4673504994144</v>
      </c>
    </row>
    <row r="277" spans="1:38" outlineLevel="1" x14ac:dyDescent="0.25">
      <c r="A277" s="293"/>
      <c r="B277" s="529" t="s">
        <v>116</v>
      </c>
      <c r="C277" s="530"/>
      <c r="D277" s="325">
        <f>+D276+D275+0.1</f>
        <v>4761.6000000000004</v>
      </c>
      <c r="E277" s="325">
        <f t="shared" ref="E277" si="967">+E276+E275</f>
        <v>2055.1000000000004</v>
      </c>
      <c r="F277" s="325">
        <f t="shared" ref="F277" si="968">+F276+F275</f>
        <v>4763.4000000000015</v>
      </c>
      <c r="G277" s="325">
        <f t="shared" ref="G277" si="969">+G276+G275</f>
        <v>2686.6000000000022</v>
      </c>
      <c r="H277" s="434">
        <f>+D276+H275</f>
        <v>2686.5000000000055</v>
      </c>
      <c r="I277" s="325">
        <f>+I276+I275+0.1</f>
        <v>3040.5000000000036</v>
      </c>
      <c r="J277" s="325">
        <f t="shared" ref="J277:L277" si="970">+J276+J275</f>
        <v>2572.3000000000029</v>
      </c>
      <c r="K277" s="325">
        <f t="shared" si="970"/>
        <v>3965.9000000000042</v>
      </c>
      <c r="L277" s="44">
        <f t="shared" si="970"/>
        <v>3686.8185906645049</v>
      </c>
      <c r="M277" s="45">
        <f>+I276+M275</f>
        <v>3686.7185906645082</v>
      </c>
      <c r="N277" s="44">
        <f>+N276+N275</f>
        <v>3875.3814618441911</v>
      </c>
      <c r="O277" s="44">
        <f t="shared" ref="O277:Q277" si="971">+O276+O275</f>
        <v>3172.7140452266722</v>
      </c>
      <c r="P277" s="44">
        <f t="shared" si="971"/>
        <v>2695.7967373633046</v>
      </c>
      <c r="Q277" s="44">
        <f t="shared" si="971"/>
        <v>2661.4695764151033</v>
      </c>
      <c r="R277" s="45">
        <f>+N276+R275</f>
        <v>2661.4695764151038</v>
      </c>
      <c r="S277" s="44">
        <f>+S276+S275</f>
        <v>3107.4763661360976</v>
      </c>
      <c r="T277" s="44">
        <f t="shared" ref="T277:V277" si="972">+T276+T275</f>
        <v>2792.6843207482038</v>
      </c>
      <c r="U277" s="44">
        <f t="shared" si="972"/>
        <v>2841.9316545820448</v>
      </c>
      <c r="V277" s="44">
        <f t="shared" si="972"/>
        <v>2931.1140185462764</v>
      </c>
      <c r="W277" s="45">
        <f>+S276+W275</f>
        <v>2931.1140185462791</v>
      </c>
      <c r="X277" s="44">
        <f>+X276+X275</f>
        <v>3586.2413332944288</v>
      </c>
      <c r="Y277" s="44">
        <f t="shared" ref="Y277:AA277" si="973">+Y276+Y275</f>
        <v>3340.2791348107057</v>
      </c>
      <c r="Z277" s="44">
        <f t="shared" si="973"/>
        <v>3535.8388925588697</v>
      </c>
      <c r="AA277" s="44">
        <f t="shared" si="973"/>
        <v>3776.0383674105851</v>
      </c>
      <c r="AB277" s="45">
        <f>+X276+AB275</f>
        <v>3776.0383674105815</v>
      </c>
      <c r="AC277" s="44">
        <f>+AC276+AC275</f>
        <v>4446.3678995384798</v>
      </c>
      <c r="AD277" s="44">
        <f t="shared" ref="AD277:AF277" si="974">+AD276+AD275</f>
        <v>4152.2869322638962</v>
      </c>
      <c r="AE277" s="44">
        <f t="shared" si="974"/>
        <v>4292.9278853843498</v>
      </c>
      <c r="AF277" s="44">
        <f t="shared" si="974"/>
        <v>4526.467350499408</v>
      </c>
      <c r="AG277" s="45">
        <f>+AC276+AG275</f>
        <v>4526.4673504994144</v>
      </c>
      <c r="AH277" s="44">
        <f>+AH276+AH275</f>
        <v>4967.270580325152</v>
      </c>
      <c r="AI277" s="44">
        <f t="shared" ref="AI277:AK277" si="975">+AI276+AI275</f>
        <v>4390.0348278434594</v>
      </c>
      <c r="AJ277" s="44">
        <f t="shared" si="975"/>
        <v>4296.2873038772532</v>
      </c>
      <c r="AK277" s="44">
        <f t="shared" si="975"/>
        <v>4243.0207705865769</v>
      </c>
      <c r="AL277" s="45">
        <f>+AH276+AL275</f>
        <v>4243.0207705865714</v>
      </c>
    </row>
    <row r="278" spans="1:38" s="46" customFormat="1" outlineLevel="1" x14ac:dyDescent="0.25">
      <c r="A278" s="359"/>
      <c r="B278" s="525" t="s">
        <v>75</v>
      </c>
      <c r="C278" s="526"/>
      <c r="D278" s="277">
        <f>D258-(-D261)+((-D31*(1-$C$315)))</f>
        <v>2003.1879040886045</v>
      </c>
      <c r="E278" s="277">
        <f t="shared" ref="E278:F278" si="976">E258-(-E261)+((-E31*(1-$C$315)))</f>
        <v>30.972614828637532</v>
      </c>
      <c r="F278" s="277">
        <f t="shared" si="976"/>
        <v>798.33726551007294</v>
      </c>
      <c r="G278" s="277">
        <f>G258-(-G261)+((-G31*(1-$C$315)))</f>
        <v>653.13016561705967</v>
      </c>
      <c r="H278" s="278">
        <f>SUM(D278:G278)</f>
        <v>3485.6279500443743</v>
      </c>
      <c r="I278" s="277">
        <f>I258-(-I261)+((-I31*(1-$C$315)))</f>
        <v>1509.9137118099015</v>
      </c>
      <c r="J278" s="277">
        <f t="shared" ref="J278:K278" si="977">J258-(-J261)+((-J31*(1-$C$315)))</f>
        <v>-1651.7757321921406</v>
      </c>
      <c r="K278" s="277">
        <f t="shared" si="977"/>
        <v>-658.26641581462093</v>
      </c>
      <c r="L278" s="277">
        <f>L258-(-L261)+((-L31*(1-$C$315)))</f>
        <v>729.82794100097362</v>
      </c>
      <c r="M278" s="278">
        <f>SUM(I278:L278)</f>
        <v>-70.300495195886356</v>
      </c>
      <c r="N278" s="277">
        <f>N258-(-N261)+((-N31*(1-$C$315)))</f>
        <v>1291.6218812672475</v>
      </c>
      <c r="O278" s="277">
        <f t="shared" ref="O278:P278" si="978">O258-(-O261)+((-O31*(1-$C$315)))</f>
        <v>402.46620088791366</v>
      </c>
      <c r="P278" s="277">
        <f t="shared" si="978"/>
        <v>640.76296638600525</v>
      </c>
      <c r="Q278" s="277">
        <f>Q258-(-Q261)+((-Q31*(1-$C$315)))</f>
        <v>1087.2638458075351</v>
      </c>
      <c r="R278" s="278">
        <f>SUM(N278:Q278)</f>
        <v>3422.1148943487015</v>
      </c>
      <c r="S278" s="277">
        <f>S258-(-S261)+((-S31*(1-$C$315)))</f>
        <v>1414.9039051599177</v>
      </c>
      <c r="T278" s="277">
        <f t="shared" ref="T278:U278" si="979">T258-(-T261)+((-T31*(1-$C$315)))</f>
        <v>618.90988066009231</v>
      </c>
      <c r="U278" s="277">
        <f t="shared" si="979"/>
        <v>994.49208293151662</v>
      </c>
      <c r="V278" s="277">
        <f>V258-(-V261)+((-V31*(1-$C$315)))</f>
        <v>1063.1315673918255</v>
      </c>
      <c r="W278" s="278">
        <f>SUM(S278:V278)</f>
        <v>4091.437436143352</v>
      </c>
      <c r="X278" s="277">
        <f>X258-(-X261)+((-X31*(1-$C$315)))</f>
        <v>1650.2933125916873</v>
      </c>
      <c r="Y278" s="277">
        <f t="shared" ref="Y278:Z278" si="980">Y258-(-Y261)+((-Y31*(1-$C$315)))</f>
        <v>703.77165097128159</v>
      </c>
      <c r="Z278" s="277">
        <f t="shared" si="980"/>
        <v>1161.1089632149042</v>
      </c>
      <c r="AA278" s="277">
        <f>AA258-(-AA261)+((-AA31*(1-$C$315)))</f>
        <v>1239.988887417866</v>
      </c>
      <c r="AB278" s="278">
        <f>SUM(X278:AA278)</f>
        <v>4755.162814195739</v>
      </c>
      <c r="AC278" s="277">
        <f>AC258-(-AC261)+((-AC31*(1-$C$315)))</f>
        <v>1821.8643708563802</v>
      </c>
      <c r="AD278" s="277">
        <f t="shared" ref="AD278:AE278" si="981">AD258-(-AD261)+((-AD31*(1-$C$315)))</f>
        <v>807.46399116808868</v>
      </c>
      <c r="AE278" s="277">
        <f t="shared" si="981"/>
        <v>1258.0743757746588</v>
      </c>
      <c r="AF278" s="277">
        <f>AF258-(-AF261)+((-AF31*(1-$C$315)))</f>
        <v>1386.9833425251129</v>
      </c>
      <c r="AG278" s="278">
        <f>SUM(AC278:AF278)</f>
        <v>5274.3860803242405</v>
      </c>
      <c r="AH278" s="277">
        <f>AH258-(-AH261)+((-AH31*(1-$C$315)))</f>
        <v>1966.5306950974198</v>
      </c>
      <c r="AI278" s="277">
        <f t="shared" ref="AI278:AJ278" si="982">AI258-(-AI261)+((-AI31*(1-$C$315)))</f>
        <v>892.70268658510088</v>
      </c>
      <c r="AJ278" s="277">
        <f t="shared" si="982"/>
        <v>1391.9935878091401</v>
      </c>
      <c r="AK278" s="277">
        <f>AK258-(-AK261)+((-AK31*(1-$C$315)))</f>
        <v>1466.0879751123825</v>
      </c>
      <c r="AL278" s="278">
        <f>SUM(AH278:AK278)</f>
        <v>5717.3149446040443</v>
      </c>
    </row>
    <row r="279" spans="1:38" s="46" customFormat="1" outlineLevel="1" x14ac:dyDescent="0.25">
      <c r="A279" s="359"/>
      <c r="B279" s="57" t="s">
        <v>49</v>
      </c>
      <c r="C279" s="51"/>
      <c r="D279" s="97"/>
      <c r="E279" s="97"/>
      <c r="F279" s="352"/>
      <c r="G279" s="97"/>
      <c r="H279" s="98">
        <v>0</v>
      </c>
      <c r="I279" s="97"/>
      <c r="J279" s="97"/>
      <c r="K279" s="97"/>
      <c r="L279" s="97"/>
      <c r="M279" s="98">
        <v>0</v>
      </c>
      <c r="N279" s="97"/>
      <c r="O279" s="97"/>
      <c r="P279" s="97"/>
      <c r="Q279" s="97"/>
      <c r="R279" s="98">
        <f>M279+1</f>
        <v>1</v>
      </c>
      <c r="S279" s="97"/>
      <c r="T279" s="97"/>
      <c r="U279" s="97"/>
      <c r="V279" s="97"/>
      <c r="W279" s="98">
        <f>R279+1</f>
        <v>2</v>
      </c>
      <c r="X279" s="97"/>
      <c r="Y279" s="97"/>
      <c r="Z279" s="97"/>
      <c r="AA279" s="97"/>
      <c r="AB279" s="98">
        <f>W279+1</f>
        <v>3</v>
      </c>
      <c r="AC279" s="97"/>
      <c r="AD279" s="97"/>
      <c r="AE279" s="97"/>
      <c r="AF279" s="97"/>
      <c r="AG279" s="98">
        <f>AB279+1</f>
        <v>4</v>
      </c>
      <c r="AH279" s="97"/>
      <c r="AI279" s="97"/>
      <c r="AJ279" s="97"/>
      <c r="AK279" s="97"/>
      <c r="AL279" s="98">
        <f>AG279+1</f>
        <v>5</v>
      </c>
    </row>
    <row r="280" spans="1:38" s="46" customFormat="1" outlineLevel="1" x14ac:dyDescent="0.25">
      <c r="A280" s="359"/>
      <c r="B280" s="523" t="s">
        <v>25</v>
      </c>
      <c r="C280" s="524"/>
      <c r="D280" s="99"/>
      <c r="E280" s="99"/>
      <c r="F280" s="99"/>
      <c r="G280" s="99"/>
      <c r="H280" s="100">
        <f>H278/(1+$C$317)^H279</f>
        <v>3485.6279500443743</v>
      </c>
      <c r="I280" s="99"/>
      <c r="J280" s="99"/>
      <c r="K280" s="99"/>
      <c r="L280" s="99"/>
      <c r="M280" s="100">
        <f>M278/(1+$C$317)^M279</f>
        <v>-70.300495195886356</v>
      </c>
      <c r="N280" s="99"/>
      <c r="O280" s="99"/>
      <c r="P280" s="99"/>
      <c r="Q280" s="99"/>
      <c r="R280" s="100">
        <f>R278/(1+$C$317)^R279</f>
        <v>3169.0958114831901</v>
      </c>
      <c r="S280" s="99"/>
      <c r="T280" s="99"/>
      <c r="U280" s="99"/>
      <c r="V280" s="99"/>
      <c r="W280" s="100">
        <f>W278/(1+$C$317)^W279</f>
        <v>3508.7908394165888</v>
      </c>
      <c r="X280" s="99"/>
      <c r="Y280" s="99"/>
      <c r="Z280" s="99"/>
      <c r="AA280" s="99"/>
      <c r="AB280" s="100">
        <f>AB278/(1+$C$317)^AB279</f>
        <v>3776.4847944592184</v>
      </c>
      <c r="AC280" s="99"/>
      <c r="AD280" s="99"/>
      <c r="AE280" s="99"/>
      <c r="AF280" s="99"/>
      <c r="AG280" s="100">
        <f>AG278/(1+$C$317)^AG279</f>
        <v>3879.1363792703924</v>
      </c>
      <c r="AH280" s="99"/>
      <c r="AI280" s="99"/>
      <c r="AJ280" s="99"/>
      <c r="AK280" s="99"/>
      <c r="AL280" s="100">
        <f>AL278/(1+$C$317)^AL279</f>
        <v>3894.0007537217029</v>
      </c>
    </row>
    <row r="281" spans="1:38" outlineLevel="1" x14ac:dyDescent="0.25">
      <c r="A281" s="293"/>
      <c r="B281" s="73" t="s">
        <v>59</v>
      </c>
      <c r="C281" s="89"/>
      <c r="D281" s="25"/>
      <c r="E281" s="25"/>
      <c r="F281" s="25"/>
      <c r="G281" s="25"/>
      <c r="H281" s="26"/>
      <c r="I281" s="25"/>
      <c r="J281" s="25"/>
      <c r="K281" s="25"/>
      <c r="L281" s="25"/>
      <c r="M281" s="26"/>
      <c r="N281" s="25"/>
      <c r="O281" s="25"/>
      <c r="P281" s="25"/>
      <c r="Q281" s="25"/>
      <c r="R281" s="26"/>
      <c r="S281" s="25"/>
      <c r="T281" s="25"/>
      <c r="U281" s="25"/>
      <c r="V281" s="25"/>
      <c r="W281" s="26"/>
      <c r="X281" s="25"/>
      <c r="Y281" s="25"/>
      <c r="Z281" s="25"/>
      <c r="AA281" s="25"/>
      <c r="AB281" s="26"/>
      <c r="AC281" s="25"/>
      <c r="AD281" s="25"/>
      <c r="AE281" s="25"/>
      <c r="AF281" s="25"/>
      <c r="AG281" s="26"/>
      <c r="AH281" s="25"/>
      <c r="AI281" s="25"/>
      <c r="AJ281" s="25"/>
      <c r="AK281" s="25"/>
      <c r="AL281" s="26"/>
    </row>
    <row r="282" spans="1:38" outlineLevel="1" x14ac:dyDescent="0.25">
      <c r="A282" s="293"/>
      <c r="B282" s="82" t="s">
        <v>280</v>
      </c>
      <c r="C282" s="83"/>
      <c r="D282" s="37">
        <f t="shared" ref="D282:AL282" si="983">+D185+D186+D191</f>
        <v>5256.8</v>
      </c>
      <c r="E282" s="37">
        <f t="shared" si="983"/>
        <v>2383.6000000000004</v>
      </c>
      <c r="F282" s="37">
        <f t="shared" si="983"/>
        <v>5058.1000000000022</v>
      </c>
      <c r="G282" s="37">
        <f t="shared" si="983"/>
        <v>2977.1000000000022</v>
      </c>
      <c r="H282" s="38">
        <f t="shared" si="983"/>
        <v>2977.1000000000022</v>
      </c>
      <c r="I282" s="37">
        <f t="shared" si="983"/>
        <v>3308.7000000000039</v>
      </c>
      <c r="J282" s="37">
        <f t="shared" si="983"/>
        <v>2824.0000000000032</v>
      </c>
      <c r="K282" s="37">
        <f>+K185+K186+K191</f>
        <v>4419.2000000000035</v>
      </c>
      <c r="L282" s="37">
        <f t="shared" si="983"/>
        <v>4039.4532154751114</v>
      </c>
      <c r="M282" s="38">
        <f t="shared" si="983"/>
        <v>4039.4532154751114</v>
      </c>
      <c r="N282" s="37">
        <f t="shared" si="983"/>
        <v>4209.7051943067554</v>
      </c>
      <c r="O282" s="37">
        <f t="shared" si="983"/>
        <v>3511.378495113373</v>
      </c>
      <c r="P282" s="37">
        <f t="shared" si="983"/>
        <v>3048.2795829791485</v>
      </c>
      <c r="Q282" s="37">
        <f t="shared" si="983"/>
        <v>2996.2852656918185</v>
      </c>
      <c r="R282" s="38">
        <f t="shared" si="983"/>
        <v>2996.2852656918185</v>
      </c>
      <c r="S282" s="37">
        <f t="shared" si="983"/>
        <v>3450.0426978019841</v>
      </c>
      <c r="T282" s="37">
        <f t="shared" si="983"/>
        <v>3132.6866656737147</v>
      </c>
      <c r="U282" s="37">
        <f t="shared" si="983"/>
        <v>3183.0972374220041</v>
      </c>
      <c r="V282" s="37">
        <f t="shared" si="983"/>
        <v>3272.0046739097575</v>
      </c>
      <c r="W282" s="38">
        <f t="shared" si="983"/>
        <v>3272.0046739097575</v>
      </c>
      <c r="X282" s="37">
        <f t="shared" si="983"/>
        <v>3938.2007358779738</v>
      </c>
      <c r="Y282" s="37">
        <f t="shared" si="983"/>
        <v>3686.42099777352</v>
      </c>
      <c r="Z282" s="37">
        <f t="shared" si="983"/>
        <v>3882.76544385037</v>
      </c>
      <c r="AA282" s="37">
        <f t="shared" si="983"/>
        <v>4126.9049308235035</v>
      </c>
      <c r="AB282" s="38">
        <f t="shared" si="983"/>
        <v>4126.9049308235035</v>
      </c>
      <c r="AC282" s="37">
        <f t="shared" si="983"/>
        <v>4808.7857334507316</v>
      </c>
      <c r="AD282" s="37">
        <f t="shared" si="983"/>
        <v>4507.8003417211748</v>
      </c>
      <c r="AE282" s="37">
        <f t="shared" si="983"/>
        <v>4649.0212976692692</v>
      </c>
      <c r="AF282" s="37">
        <f t="shared" si="983"/>
        <v>4887.3066646877369</v>
      </c>
      <c r="AG282" s="38">
        <f t="shared" si="983"/>
        <v>4887.3066646877369</v>
      </c>
      <c r="AH282" s="37">
        <f t="shared" si="983"/>
        <v>5337.3881850984062</v>
      </c>
      <c r="AI282" s="37">
        <f t="shared" si="983"/>
        <v>4749.6667784697102</v>
      </c>
      <c r="AJ282" s="37">
        <f t="shared" si="983"/>
        <v>4653.9209201154281</v>
      </c>
      <c r="AK282" s="37">
        <f t="shared" si="983"/>
        <v>4602.4202508605367</v>
      </c>
      <c r="AL282" s="38">
        <f t="shared" si="983"/>
        <v>4602.4202508605367</v>
      </c>
    </row>
    <row r="283" spans="1:38" outlineLevel="1" x14ac:dyDescent="0.25">
      <c r="A283" s="293"/>
      <c r="B283" s="82" t="s">
        <v>76</v>
      </c>
      <c r="C283" s="83"/>
      <c r="D283" s="37">
        <f t="shared" ref="D283:AL283" si="984">D207+D210</f>
        <v>9130.7000000000007</v>
      </c>
      <c r="E283" s="37">
        <f t="shared" si="984"/>
        <v>9216.5</v>
      </c>
      <c r="F283" s="37">
        <f t="shared" si="984"/>
        <v>11159.1</v>
      </c>
      <c r="G283" s="37">
        <f t="shared" si="984"/>
        <v>11167</v>
      </c>
      <c r="H283" s="38">
        <f t="shared" si="984"/>
        <v>11167</v>
      </c>
      <c r="I283" s="37">
        <f t="shared" si="984"/>
        <v>11649.800000000001</v>
      </c>
      <c r="J283" s="37">
        <f t="shared" si="984"/>
        <v>14015.2</v>
      </c>
      <c r="K283" s="37">
        <f>K207+K210</f>
        <v>16831.7</v>
      </c>
      <c r="L283" s="37">
        <f t="shared" si="984"/>
        <v>16394.7</v>
      </c>
      <c r="M283" s="38">
        <f t="shared" si="984"/>
        <v>16394.7</v>
      </c>
      <c r="N283" s="37">
        <f t="shared" si="984"/>
        <v>15957.7</v>
      </c>
      <c r="O283" s="37">
        <f t="shared" si="984"/>
        <v>15520.7</v>
      </c>
      <c r="P283" s="37">
        <f t="shared" si="984"/>
        <v>15083.7</v>
      </c>
      <c r="Q283" s="37">
        <f t="shared" si="984"/>
        <v>14645.6</v>
      </c>
      <c r="R283" s="38">
        <f t="shared" si="984"/>
        <v>14645.6</v>
      </c>
      <c r="S283" s="37">
        <f t="shared" si="984"/>
        <v>14395.6</v>
      </c>
      <c r="T283" s="37">
        <f t="shared" si="984"/>
        <v>14145.6</v>
      </c>
      <c r="U283" s="37">
        <f t="shared" si="984"/>
        <v>13895.6</v>
      </c>
      <c r="V283" s="37">
        <f t="shared" si="984"/>
        <v>13645.6</v>
      </c>
      <c r="W283" s="38">
        <f t="shared" si="984"/>
        <v>13645.6</v>
      </c>
      <c r="X283" s="37">
        <f t="shared" si="984"/>
        <v>13395.6</v>
      </c>
      <c r="Y283" s="37">
        <f t="shared" si="984"/>
        <v>13145.6</v>
      </c>
      <c r="Z283" s="37">
        <f t="shared" si="984"/>
        <v>12895.6</v>
      </c>
      <c r="AA283" s="37">
        <f t="shared" si="984"/>
        <v>12645.6</v>
      </c>
      <c r="AB283" s="38">
        <f t="shared" si="984"/>
        <v>12645.6</v>
      </c>
      <c r="AC283" s="37">
        <f t="shared" si="984"/>
        <v>12259.85</v>
      </c>
      <c r="AD283" s="37">
        <f t="shared" si="984"/>
        <v>11874.1</v>
      </c>
      <c r="AE283" s="37">
        <f t="shared" si="984"/>
        <v>11488.35</v>
      </c>
      <c r="AF283" s="37">
        <f t="shared" si="984"/>
        <v>11102.6</v>
      </c>
      <c r="AG283" s="38">
        <f t="shared" si="984"/>
        <v>11102.6</v>
      </c>
      <c r="AH283" s="37">
        <f t="shared" si="984"/>
        <v>10352.6</v>
      </c>
      <c r="AI283" s="37">
        <f t="shared" si="984"/>
        <v>9602.6</v>
      </c>
      <c r="AJ283" s="37">
        <f t="shared" si="984"/>
        <v>8852.6</v>
      </c>
      <c r="AK283" s="37">
        <f t="shared" si="984"/>
        <v>8102.6</v>
      </c>
      <c r="AL283" s="38">
        <f t="shared" si="984"/>
        <v>8102.6</v>
      </c>
    </row>
    <row r="284" spans="1:38" outlineLevel="1" x14ac:dyDescent="0.25">
      <c r="A284" s="293"/>
      <c r="B284" s="527" t="s">
        <v>77</v>
      </c>
      <c r="C284" s="528"/>
      <c r="D284" s="78">
        <f t="shared" ref="D284:AL284" si="985">(D282-D283)/D40</f>
        <v>-3.0907132599329823</v>
      </c>
      <c r="E284" s="78">
        <f t="shared" si="985"/>
        <v>-5.4632605740785154</v>
      </c>
      <c r="F284" s="78">
        <f t="shared" si="985"/>
        <v>-4.9885527391659839</v>
      </c>
      <c r="G284" s="78">
        <f t="shared" si="985"/>
        <v>-6.6975821179389685</v>
      </c>
      <c r="H284" s="79">
        <f t="shared" si="985"/>
        <v>-6.6411774245864397</v>
      </c>
      <c r="I284" s="78">
        <f t="shared" si="985"/>
        <v>-7.0034424853064623</v>
      </c>
      <c r="J284" s="78">
        <f t="shared" si="985"/>
        <v>-9.4784449902600123</v>
      </c>
      <c r="K284" s="78">
        <f>(K282-K283)/K40</f>
        <v>-10.62259306803594</v>
      </c>
      <c r="L284" s="78">
        <f t="shared" si="985"/>
        <v>-10.610560459323947</v>
      </c>
      <c r="M284" s="79">
        <f t="shared" si="985"/>
        <v>-10.32202386126475</v>
      </c>
      <c r="N284" s="78">
        <f t="shared" si="985"/>
        <v>-10.178490738056508</v>
      </c>
      <c r="O284" s="78">
        <f t="shared" si="985"/>
        <v>-10.476016025813724</v>
      </c>
      <c r="P284" s="78">
        <f t="shared" si="985"/>
        <v>-10.579013821510671</v>
      </c>
      <c r="Q284" s="78">
        <f t="shared" si="985"/>
        <v>-10.307998611828992</v>
      </c>
      <c r="R284" s="79">
        <f t="shared" si="985"/>
        <v>-10.204846779801859</v>
      </c>
      <c r="S284" s="78">
        <f t="shared" si="985"/>
        <v>-9.7579645337305791</v>
      </c>
      <c r="T284" s="78">
        <f t="shared" si="985"/>
        <v>-9.8885505889499417</v>
      </c>
      <c r="U284" s="78">
        <f t="shared" si="985"/>
        <v>-9.6887614076146331</v>
      </c>
      <c r="V284" s="78">
        <f t="shared" si="985"/>
        <v>-9.4496072886173188</v>
      </c>
      <c r="W284" s="79">
        <f t="shared" si="985"/>
        <v>-9.3488170825177512</v>
      </c>
      <c r="X284" s="78">
        <f t="shared" si="985"/>
        <v>-8.6779608818330569</v>
      </c>
      <c r="Y284" s="78">
        <f t="shared" si="985"/>
        <v>-8.7425781364327104</v>
      </c>
      <c r="Z284" s="78">
        <f t="shared" si="985"/>
        <v>-8.390646619145036</v>
      </c>
      <c r="AA284" s="78">
        <f t="shared" si="985"/>
        <v>-7.9883189745751668</v>
      </c>
      <c r="AB284" s="79">
        <f t="shared" si="985"/>
        <v>-7.9018191040426773</v>
      </c>
      <c r="AC284" s="78">
        <f t="shared" si="985"/>
        <v>-7.0381625502662972</v>
      </c>
      <c r="AD284" s="78">
        <f t="shared" si="985"/>
        <v>-7.0088762133284144</v>
      </c>
      <c r="AE284" s="78">
        <f t="shared" si="985"/>
        <v>-6.5550357579554772</v>
      </c>
      <c r="AF284" s="78">
        <f t="shared" si="985"/>
        <v>-6.0005289508858661</v>
      </c>
      <c r="AG284" s="79">
        <f t="shared" si="985"/>
        <v>-5.9351024567859545</v>
      </c>
      <c r="AH284" s="78">
        <f t="shared" si="985"/>
        <v>-4.87739678738855</v>
      </c>
      <c r="AI284" s="78">
        <f t="shared" si="985"/>
        <v>-4.7541969407106706</v>
      </c>
      <c r="AJ284" s="78">
        <f t="shared" si="985"/>
        <v>-4.1434649207490608</v>
      </c>
      <c r="AK284" s="78">
        <f t="shared" si="985"/>
        <v>-3.4795528397053284</v>
      </c>
      <c r="AL284" s="79">
        <f t="shared" si="985"/>
        <v>-3.4412841468823197</v>
      </c>
    </row>
    <row r="285" spans="1:38" s="477" customFormat="1" ht="33.75" customHeight="1" x14ac:dyDescent="0.25">
      <c r="B285" s="521" t="s">
        <v>370</v>
      </c>
      <c r="C285" s="522"/>
      <c r="D285" s="483">
        <f>D277-D185</f>
        <v>0</v>
      </c>
      <c r="E285" s="483">
        <f t="shared" ref="E285:AL285" si="986">E277-E185</f>
        <v>0</v>
      </c>
      <c r="F285" s="483">
        <f t="shared" si="986"/>
        <v>0</v>
      </c>
      <c r="G285" s="483">
        <f t="shared" si="986"/>
        <v>0</v>
      </c>
      <c r="H285" s="483">
        <f t="shared" si="986"/>
        <v>-9.9999999996725819E-2</v>
      </c>
      <c r="I285" s="483">
        <f t="shared" si="986"/>
        <v>0</v>
      </c>
      <c r="J285" s="483">
        <f t="shared" si="986"/>
        <v>0</v>
      </c>
      <c r="K285" s="483">
        <f t="shared" si="986"/>
        <v>0</v>
      </c>
      <c r="L285" s="483">
        <f t="shared" si="986"/>
        <v>0</v>
      </c>
      <c r="M285" s="483">
        <f t="shared" si="986"/>
        <v>-9.9999999996725819E-2</v>
      </c>
      <c r="N285" s="483">
        <f t="shared" si="986"/>
        <v>0</v>
      </c>
      <c r="O285" s="483">
        <f t="shared" si="986"/>
        <v>0</v>
      </c>
      <c r="P285" s="483">
        <f t="shared" si="986"/>
        <v>0</v>
      </c>
      <c r="Q285" s="483">
        <f t="shared" si="986"/>
        <v>0</v>
      </c>
      <c r="R285" s="483">
        <f t="shared" si="986"/>
        <v>0</v>
      </c>
      <c r="S285" s="483">
        <f t="shared" si="986"/>
        <v>0</v>
      </c>
      <c r="T285" s="483">
        <f t="shared" si="986"/>
        <v>0</v>
      </c>
      <c r="U285" s="483">
        <f t="shared" si="986"/>
        <v>0</v>
      </c>
      <c r="V285" s="483">
        <f t="shared" si="986"/>
        <v>0</v>
      </c>
      <c r="W285" s="483">
        <f t="shared" si="986"/>
        <v>0</v>
      </c>
      <c r="X285" s="483">
        <f t="shared" si="986"/>
        <v>0</v>
      </c>
      <c r="Y285" s="483">
        <f t="shared" si="986"/>
        <v>0</v>
      </c>
      <c r="Z285" s="483">
        <f t="shared" si="986"/>
        <v>0</v>
      </c>
      <c r="AA285" s="483">
        <f t="shared" si="986"/>
        <v>0</v>
      </c>
      <c r="AB285" s="483">
        <f t="shared" si="986"/>
        <v>-3.637978807091713E-12</v>
      </c>
      <c r="AC285" s="483">
        <f t="shared" si="986"/>
        <v>0</v>
      </c>
      <c r="AD285" s="483">
        <f t="shared" si="986"/>
        <v>0</v>
      </c>
      <c r="AE285" s="483">
        <f t="shared" si="986"/>
        <v>0</v>
      </c>
      <c r="AF285" s="483">
        <f t="shared" si="986"/>
        <v>0</v>
      </c>
      <c r="AG285" s="483">
        <f t="shared" si="986"/>
        <v>0</v>
      </c>
      <c r="AH285" s="483">
        <f t="shared" si="986"/>
        <v>0</v>
      </c>
      <c r="AI285" s="483">
        <f t="shared" si="986"/>
        <v>0</v>
      </c>
      <c r="AJ285" s="483">
        <f t="shared" si="986"/>
        <v>0</v>
      </c>
      <c r="AK285" s="483">
        <f t="shared" si="986"/>
        <v>0</v>
      </c>
      <c r="AL285" s="483">
        <f t="shared" si="986"/>
        <v>0</v>
      </c>
    </row>
    <row r="286" spans="1:38" ht="15.75" x14ac:dyDescent="0.25">
      <c r="A286" s="293"/>
      <c r="B286" s="512" t="s">
        <v>23</v>
      </c>
      <c r="C286" s="513"/>
      <c r="D286" s="34" t="s">
        <v>110</v>
      </c>
      <c r="E286" s="34" t="s">
        <v>282</v>
      </c>
      <c r="F286" s="34" t="s">
        <v>284</v>
      </c>
      <c r="G286" s="34" t="s">
        <v>124</v>
      </c>
      <c r="H286" s="101" t="s">
        <v>124</v>
      </c>
      <c r="I286" s="34" t="s">
        <v>125</v>
      </c>
      <c r="J286" s="34" t="s">
        <v>126</v>
      </c>
      <c r="K286" s="34" t="s">
        <v>127</v>
      </c>
      <c r="L286" s="36" t="s">
        <v>128</v>
      </c>
      <c r="M286" s="104" t="s">
        <v>128</v>
      </c>
      <c r="N286" s="36" t="s">
        <v>129</v>
      </c>
      <c r="O286" s="36" t="s">
        <v>130</v>
      </c>
      <c r="P286" s="36" t="s">
        <v>131</v>
      </c>
      <c r="Q286" s="36" t="s">
        <v>132</v>
      </c>
      <c r="R286" s="104" t="s">
        <v>132</v>
      </c>
      <c r="S286" s="36" t="s">
        <v>133</v>
      </c>
      <c r="T286" s="36" t="s">
        <v>134</v>
      </c>
      <c r="U286" s="36" t="s">
        <v>135</v>
      </c>
      <c r="V286" s="36" t="s">
        <v>136</v>
      </c>
      <c r="W286" s="104" t="s">
        <v>136</v>
      </c>
      <c r="X286" s="36" t="s">
        <v>137</v>
      </c>
      <c r="Y286" s="36" t="s">
        <v>138</v>
      </c>
      <c r="Z286" s="36" t="s">
        <v>139</v>
      </c>
      <c r="AA286" s="36" t="s">
        <v>140</v>
      </c>
      <c r="AB286" s="104" t="s">
        <v>140</v>
      </c>
      <c r="AC286" s="36" t="s">
        <v>286</v>
      </c>
      <c r="AD286" s="36" t="s">
        <v>287</v>
      </c>
      <c r="AE286" s="36" t="s">
        <v>288</v>
      </c>
      <c r="AF286" s="36" t="s">
        <v>289</v>
      </c>
      <c r="AG286" s="104" t="s">
        <v>289</v>
      </c>
      <c r="AH286" s="36" t="s">
        <v>319</v>
      </c>
      <c r="AI286" s="36" t="s">
        <v>320</v>
      </c>
      <c r="AJ286" s="36" t="s">
        <v>321</v>
      </c>
      <c r="AK286" s="36" t="s">
        <v>322</v>
      </c>
      <c r="AL286" s="104" t="s">
        <v>322</v>
      </c>
    </row>
    <row r="287" spans="1:38" ht="17.25" x14ac:dyDescent="0.4">
      <c r="A287" s="293"/>
      <c r="B287" s="506"/>
      <c r="C287" s="507"/>
      <c r="D287" s="35" t="s">
        <v>123</v>
      </c>
      <c r="E287" s="35" t="s">
        <v>281</v>
      </c>
      <c r="F287" s="35" t="s">
        <v>285</v>
      </c>
      <c r="G287" s="35" t="s">
        <v>295</v>
      </c>
      <c r="H287" s="102" t="s">
        <v>296</v>
      </c>
      <c r="I287" s="35" t="s">
        <v>297</v>
      </c>
      <c r="J287" s="35" t="s">
        <v>298</v>
      </c>
      <c r="K287" s="35" t="s">
        <v>299</v>
      </c>
      <c r="L287" s="33" t="s">
        <v>141</v>
      </c>
      <c r="M287" s="105" t="s">
        <v>142</v>
      </c>
      <c r="N287" s="33" t="s">
        <v>143</v>
      </c>
      <c r="O287" s="33" t="s">
        <v>144</v>
      </c>
      <c r="P287" s="33" t="s">
        <v>145</v>
      </c>
      <c r="Q287" s="33" t="s">
        <v>146</v>
      </c>
      <c r="R287" s="105" t="s">
        <v>147</v>
      </c>
      <c r="S287" s="33" t="s">
        <v>148</v>
      </c>
      <c r="T287" s="33" t="s">
        <v>149</v>
      </c>
      <c r="U287" s="33" t="s">
        <v>150</v>
      </c>
      <c r="V287" s="33" t="s">
        <v>151</v>
      </c>
      <c r="W287" s="105" t="s">
        <v>152</v>
      </c>
      <c r="X287" s="33" t="s">
        <v>153</v>
      </c>
      <c r="Y287" s="33" t="s">
        <v>154</v>
      </c>
      <c r="Z287" s="33" t="s">
        <v>155</v>
      </c>
      <c r="AA287" s="33" t="s">
        <v>156</v>
      </c>
      <c r="AB287" s="105" t="s">
        <v>157</v>
      </c>
      <c r="AC287" s="33" t="s">
        <v>290</v>
      </c>
      <c r="AD287" s="33" t="s">
        <v>291</v>
      </c>
      <c r="AE287" s="33" t="s">
        <v>292</v>
      </c>
      <c r="AF287" s="33" t="s">
        <v>293</v>
      </c>
      <c r="AG287" s="105" t="s">
        <v>294</v>
      </c>
      <c r="AH287" s="33" t="s">
        <v>323</v>
      </c>
      <c r="AI287" s="33" t="s">
        <v>324</v>
      </c>
      <c r="AJ287" s="33" t="s">
        <v>325</v>
      </c>
      <c r="AK287" s="33" t="s">
        <v>326</v>
      </c>
      <c r="AL287" s="105" t="s">
        <v>327</v>
      </c>
    </row>
    <row r="288" spans="1:38" ht="17.25" outlineLevel="1" x14ac:dyDescent="0.4">
      <c r="A288" s="293"/>
      <c r="B288" s="504" t="s">
        <v>79</v>
      </c>
      <c r="C288" s="505"/>
      <c r="D288" s="16"/>
      <c r="E288" s="16"/>
      <c r="F288" s="16"/>
      <c r="G288" s="16"/>
      <c r="H288" s="17"/>
      <c r="I288" s="16"/>
      <c r="J288" s="16"/>
      <c r="K288" s="16"/>
      <c r="L288" s="16"/>
      <c r="M288" s="17"/>
      <c r="N288" s="16"/>
      <c r="O288" s="16"/>
      <c r="P288" s="16"/>
      <c r="Q288" s="16"/>
      <c r="R288" s="17"/>
      <c r="S288" s="16"/>
      <c r="T288" s="16"/>
      <c r="U288" s="16"/>
      <c r="V288" s="16"/>
      <c r="W288" s="17"/>
      <c r="X288" s="16"/>
      <c r="Y288" s="16"/>
      <c r="Z288" s="16"/>
      <c r="AA288" s="16"/>
      <c r="AB288" s="17"/>
      <c r="AC288" s="16"/>
      <c r="AD288" s="16"/>
      <c r="AE288" s="16"/>
      <c r="AF288" s="16"/>
      <c r="AG288" s="17"/>
      <c r="AH288" s="16"/>
      <c r="AI288" s="16"/>
      <c r="AJ288" s="16"/>
      <c r="AK288" s="16"/>
      <c r="AL288" s="17"/>
    </row>
    <row r="289" spans="1:38" s="46" customFormat="1" outlineLevel="1" x14ac:dyDescent="0.25">
      <c r="A289" s="359"/>
      <c r="B289" s="82" t="s">
        <v>85</v>
      </c>
      <c r="C289" s="83"/>
      <c r="D289" s="54">
        <f t="shared" ref="D289:K289" si="987">D248/D17</f>
        <v>1.4669742337208073E-2</v>
      </c>
      <c r="E289" s="357">
        <f t="shared" si="987"/>
        <v>1.5033540018078308E-2</v>
      </c>
      <c r="F289" s="318">
        <f t="shared" si="987"/>
        <v>9.2774439396160081E-3</v>
      </c>
      <c r="G289" s="318">
        <f t="shared" si="987"/>
        <v>7.7960575070401619E-3</v>
      </c>
      <c r="H289" s="358">
        <f t="shared" si="987"/>
        <v>1.1618870857004896E-2</v>
      </c>
      <c r="I289" s="318">
        <f t="shared" si="987"/>
        <v>1.2723506784461259E-2</v>
      </c>
      <c r="J289" s="318">
        <f t="shared" si="987"/>
        <v>9.3900628783961833E-3</v>
      </c>
      <c r="K289" s="318">
        <f t="shared" si="987"/>
        <v>9.8055470026763899E-3</v>
      </c>
      <c r="L289" s="72">
        <f>AVERAGE(K289,J289,I289,G289)</f>
        <v>9.9287935431434989E-3</v>
      </c>
      <c r="M289" s="94"/>
      <c r="N289" s="72">
        <f>AVERAGE(L289,K289,J289,I289)</f>
        <v>1.0461977552169332E-2</v>
      </c>
      <c r="O289" s="72">
        <f>AVERAGE(N289,L289,K289,J289)</f>
        <v>9.8965952440963519E-3</v>
      </c>
      <c r="P289" s="72">
        <f>AVERAGE(O289,N289,L289,K289)</f>
        <v>1.0023228335521394E-2</v>
      </c>
      <c r="Q289" s="72">
        <f>AVERAGE(P289,O289,N289,L289)</f>
        <v>1.0077648668732644E-2</v>
      </c>
      <c r="R289" s="94"/>
      <c r="S289" s="72">
        <f>AVERAGE(Q289,P289,O289,N289)</f>
        <v>1.011486245012993E-2</v>
      </c>
      <c r="T289" s="72">
        <f>AVERAGE(S289,Q289,P289,O289)</f>
        <v>1.002808367462008E-2</v>
      </c>
      <c r="U289" s="72">
        <f>AVERAGE(T289,S289,Q289,P289)</f>
        <v>1.0060955782251012E-2</v>
      </c>
      <c r="V289" s="72">
        <f>AVERAGE(U289,T289,S289,Q289)</f>
        <v>1.0070387643933417E-2</v>
      </c>
      <c r="W289" s="94"/>
      <c r="X289" s="72">
        <f>AVERAGE(V289,U289,T289,S289)</f>
        <v>1.006857238773361E-2</v>
      </c>
      <c r="Y289" s="72">
        <f>AVERAGE(X289,V289,U289,T289)</f>
        <v>1.005699987213453E-2</v>
      </c>
      <c r="Z289" s="72">
        <f>AVERAGE(Y289,X289,V289,U289)</f>
        <v>1.0064228921513143E-2</v>
      </c>
      <c r="AA289" s="72">
        <f>AVERAGE(Z289,Y289,X289,V289)</f>
        <v>1.0065047206328675E-2</v>
      </c>
      <c r="AB289" s="94"/>
      <c r="AC289" s="72">
        <f>AVERAGE(AA289,Z289,Y289,X289)</f>
        <v>1.0063712096927489E-2</v>
      </c>
      <c r="AD289" s="72">
        <f>AVERAGE(AC289,AA289,Z289,Y289)</f>
        <v>1.006249702422596E-2</v>
      </c>
      <c r="AE289" s="72">
        <f>AVERAGE(AD289,AC289,AA289,Z289)</f>
        <v>1.0063871312248817E-2</v>
      </c>
      <c r="AF289" s="72">
        <f>AVERAGE(AE289,AD289,AC289,AA289)</f>
        <v>1.0063781909932736E-2</v>
      </c>
      <c r="AG289" s="94"/>
      <c r="AH289" s="72">
        <f>AVERAGE(AF289,AE289,AD289,AC289)</f>
        <v>1.006346558583375E-2</v>
      </c>
      <c r="AI289" s="72">
        <f>AVERAGE(AH289,AF289,AE289,AD289)</f>
        <v>1.0063403958060315E-2</v>
      </c>
      <c r="AJ289" s="72">
        <f>AVERAGE(AI289,AH289,AF289,AE289)</f>
        <v>1.0063630691518905E-2</v>
      </c>
      <c r="AK289" s="72">
        <f>AVERAGE(AJ289,AI289,AH289,AF289)</f>
        <v>1.0063570536336426E-2</v>
      </c>
      <c r="AL289" s="94"/>
    </row>
    <row r="290" spans="1:38" s="46" customFormat="1" outlineLevel="1" x14ac:dyDescent="0.25">
      <c r="A290" s="359"/>
      <c r="B290" s="82" t="s">
        <v>251</v>
      </c>
      <c r="C290" s="83"/>
      <c r="D290" s="54">
        <f>+D246/-D245</f>
        <v>1.1581818181818182</v>
      </c>
      <c r="E290" s="54">
        <f>+E246/-E245</f>
        <v>0.55639097744360888</v>
      </c>
      <c r="F290" s="318">
        <f t="shared" ref="F290:K290" si="988">+F246/-F245</f>
        <v>1.0682852807283763</v>
      </c>
      <c r="G290" s="318">
        <f t="shared" si="988"/>
        <v>0.69411764705882406</v>
      </c>
      <c r="H290" s="358">
        <f t="shared" si="988"/>
        <v>0.86512370311252995</v>
      </c>
      <c r="I290" s="318">
        <f t="shared" si="988"/>
        <v>1.0222575516693164</v>
      </c>
      <c r="J290" s="318">
        <f t="shared" si="988"/>
        <v>0.63295880149812733</v>
      </c>
      <c r="K290" s="318">
        <f t="shared" si="988"/>
        <v>1.0227272727272729</v>
      </c>
      <c r="L290" s="72">
        <v>1</v>
      </c>
      <c r="M290" s="94"/>
      <c r="N290" s="72">
        <v>1</v>
      </c>
      <c r="O290" s="72">
        <v>1</v>
      </c>
      <c r="P290" s="72">
        <v>1</v>
      </c>
      <c r="Q290" s="72">
        <v>1</v>
      </c>
      <c r="R290" s="94"/>
      <c r="S290" s="72">
        <v>1</v>
      </c>
      <c r="T290" s="72">
        <v>1</v>
      </c>
      <c r="U290" s="72">
        <v>1</v>
      </c>
      <c r="V290" s="72">
        <v>1</v>
      </c>
      <c r="W290" s="94"/>
      <c r="X290" s="72">
        <v>1</v>
      </c>
      <c r="Y290" s="72">
        <v>1</v>
      </c>
      <c r="Z290" s="72">
        <v>1</v>
      </c>
      <c r="AA290" s="72">
        <v>1</v>
      </c>
      <c r="AB290" s="94"/>
      <c r="AC290" s="72">
        <v>1</v>
      </c>
      <c r="AD290" s="72">
        <v>1</v>
      </c>
      <c r="AE290" s="72">
        <v>1</v>
      </c>
      <c r="AF290" s="72">
        <v>1</v>
      </c>
      <c r="AG290" s="94"/>
      <c r="AH290" s="72">
        <v>1</v>
      </c>
      <c r="AI290" s="72">
        <v>1</v>
      </c>
      <c r="AJ290" s="72">
        <v>1</v>
      </c>
      <c r="AK290" s="72">
        <v>1</v>
      </c>
      <c r="AL290" s="94"/>
    </row>
    <row r="291" spans="1:38" s="46" customFormat="1" outlineLevel="1" x14ac:dyDescent="0.25">
      <c r="A291" s="359"/>
      <c r="B291" s="510" t="s">
        <v>62</v>
      </c>
      <c r="C291" s="511"/>
      <c r="D291" s="58"/>
      <c r="E291" s="58"/>
      <c r="F291" s="58"/>
      <c r="G291" s="58"/>
      <c r="H291" s="69"/>
      <c r="I291" s="58">
        <f t="shared" ref="I291:AB291" si="989">I258/D258-1</f>
        <v>-0.22820512820512895</v>
      </c>
      <c r="J291" s="58">
        <f t="shared" si="989"/>
        <v>-4.4869364754098413</v>
      </c>
      <c r="K291" s="58">
        <f t="shared" si="989"/>
        <v>-1.314434752864716</v>
      </c>
      <c r="L291" s="58">
        <f t="shared" si="989"/>
        <v>-0.10269984364399365</v>
      </c>
      <c r="M291" s="69">
        <f t="shared" si="989"/>
        <v>-0.78176736149753467</v>
      </c>
      <c r="N291" s="58">
        <f t="shared" si="989"/>
        <v>-0.11510158730118758</v>
      </c>
      <c r="O291" s="58">
        <f t="shared" si="989"/>
        <v>-1.5417655351358859</v>
      </c>
      <c r="P291" s="58">
        <f t="shared" si="989"/>
        <v>-3.7021233639855913</v>
      </c>
      <c r="Q291" s="58">
        <f t="shared" si="989"/>
        <v>0.45667563436032887</v>
      </c>
      <c r="R291" s="69">
        <f t="shared" si="989"/>
        <v>3.3619172618158331</v>
      </c>
      <c r="S291" s="58">
        <f t="shared" si="989"/>
        <v>0.10869543332294329</v>
      </c>
      <c r="T291" s="58">
        <f t="shared" si="989"/>
        <v>0.31007378442051281</v>
      </c>
      <c r="U291" s="58">
        <f t="shared" si="989"/>
        <v>0.36207296870808614</v>
      </c>
      <c r="V291" s="58">
        <f t="shared" si="989"/>
        <v>-4.9497379762675209E-3</v>
      </c>
      <c r="W291" s="69">
        <f t="shared" si="989"/>
        <v>0.15774948216946916</v>
      </c>
      <c r="X291" s="58">
        <f t="shared" si="989"/>
        <v>0.1044380702130292</v>
      </c>
      <c r="Y291" s="58">
        <f t="shared" si="989"/>
        <v>4.3288363348094938E-2</v>
      </c>
      <c r="Z291" s="58">
        <f t="shared" si="989"/>
        <v>9.0804322393608805E-2</v>
      </c>
      <c r="AA291" s="58">
        <f t="shared" si="989"/>
        <v>9.1292887454244909E-2</v>
      </c>
      <c r="AB291" s="69">
        <f t="shared" si="989"/>
        <v>8.7092433162366145E-2</v>
      </c>
      <c r="AC291" s="58">
        <f t="shared" ref="AC291" si="990">AC258/X258-1</f>
        <v>0.10300349716176216</v>
      </c>
      <c r="AD291" s="58">
        <f t="shared" ref="AD291" si="991">AD258/Y258-1</f>
        <v>0.13419464783344903</v>
      </c>
      <c r="AE291" s="58">
        <f t="shared" ref="AE291" si="992">AE258/Z258-1</f>
        <v>8.840515321731135E-2</v>
      </c>
      <c r="AF291" s="58">
        <f t="shared" ref="AF291" si="993">AF258/AA258-1</f>
        <v>0.11612000952181556</v>
      </c>
      <c r="AG291" s="69">
        <f t="shared" ref="AG291" si="994">AG258/AB258-1</f>
        <v>0.10805109207310637</v>
      </c>
      <c r="AH291" s="58">
        <f t="shared" ref="AH291" si="995">AH258/AC258-1</f>
        <v>8.4000095237242167E-2</v>
      </c>
      <c r="AI291" s="58">
        <f t="shared" ref="AI291" si="996">AI258/AD258-1</f>
        <v>0.10851588380096699</v>
      </c>
      <c r="AJ291" s="58">
        <f t="shared" ref="AJ291" si="997">AJ258/AE258-1</f>
        <v>0.10963421510903903</v>
      </c>
      <c r="AK291" s="58">
        <f t="shared" ref="AK291" si="998">AK258/AF258-1</f>
        <v>7.1113118061342462E-2</v>
      </c>
      <c r="AL291" s="69">
        <f t="shared" ref="AL291" si="999">AL258/AG258-1</f>
        <v>9.0954484699042215E-2</v>
      </c>
    </row>
    <row r="292" spans="1:38" outlineLevel="1" x14ac:dyDescent="0.25">
      <c r="A292" s="293"/>
      <c r="B292" s="93" t="s">
        <v>80</v>
      </c>
      <c r="C292" s="264"/>
      <c r="D292" s="54">
        <f t="shared" ref="D292:K292" si="1000">-D261/D17</f>
        <v>6.5041385860961587E-2</v>
      </c>
      <c r="E292" s="54">
        <f t="shared" si="1000"/>
        <v>6.5684517673924428E-2</v>
      </c>
      <c r="F292" s="318">
        <f t="shared" si="1000"/>
        <v>6.3769602814011436E-2</v>
      </c>
      <c r="G292" s="318">
        <f t="shared" si="1000"/>
        <v>7.7945753668297008E-2</v>
      </c>
      <c r="H292" s="355">
        <f t="shared" si="1000"/>
        <v>6.8151467825535855E-2</v>
      </c>
      <c r="I292" s="356">
        <f t="shared" si="1000"/>
        <v>5.555790393259219E-2</v>
      </c>
      <c r="J292" s="327">
        <f t="shared" si="1000"/>
        <v>6.0710175625865198E-2</v>
      </c>
      <c r="K292" s="327">
        <f t="shared" si="1000"/>
        <v>9.0026290234717338E-2</v>
      </c>
      <c r="L292" s="71">
        <v>6.0266666666666649E-2</v>
      </c>
      <c r="M292" s="103">
        <f>-M261/M17</f>
        <v>6.4334864131644978E-2</v>
      </c>
      <c r="N292" s="170">
        <f>AVERAGE(I292,J292,K292,L292)-0.5%</f>
        <v>6.1640259114960343E-2</v>
      </c>
      <c r="O292" s="71">
        <f>AVERAGE(J292,K292,L292,N292)-0.5%</f>
        <v>6.3160847910552376E-2</v>
      </c>
      <c r="P292" s="71">
        <f>AVERAGE(O292,N292,L292,K292)-0.5%</f>
        <v>6.3773515981724177E-2</v>
      </c>
      <c r="Q292" s="71">
        <f>AVERAGE(P292,O292,N292,L292)</f>
        <v>6.2210322418475891E-2</v>
      </c>
      <c r="R292" s="103">
        <f>-R261/R17</f>
        <v>6.2688275867661847E-2</v>
      </c>
      <c r="S292" s="170">
        <v>0.06</v>
      </c>
      <c r="T292" s="72">
        <v>0.06</v>
      </c>
      <c r="U292" s="72">
        <v>0.06</v>
      </c>
      <c r="V292" s="72">
        <v>0.06</v>
      </c>
      <c r="W292" s="119">
        <f>-W261/W17</f>
        <v>5.9999999999999991E-2</v>
      </c>
      <c r="X292" s="170">
        <v>0.05</v>
      </c>
      <c r="Y292" s="72">
        <v>0.05</v>
      </c>
      <c r="Z292" s="72">
        <v>0.05</v>
      </c>
      <c r="AA292" s="72">
        <v>0.05</v>
      </c>
      <c r="AB292" s="119">
        <f>-AB261/AB17</f>
        <v>0.05</v>
      </c>
      <c r="AC292" s="170">
        <f>AVERAGE(X292,Y292,Z292,AA292)</f>
        <v>0.05</v>
      </c>
      <c r="AD292" s="72">
        <f>AVERAGE(Y292,Z292,AA292,AC292)</f>
        <v>0.05</v>
      </c>
      <c r="AE292" s="72">
        <f>AVERAGE(AD292,AC292,AA292,Z292)</f>
        <v>0.05</v>
      </c>
      <c r="AF292" s="72">
        <f>AVERAGE(AE292,AD292,AC292,AA292)</f>
        <v>0.05</v>
      </c>
      <c r="AG292" s="119">
        <f>-AG261/AG17</f>
        <v>4.9999999999999996E-2</v>
      </c>
      <c r="AH292" s="170">
        <f>AVERAGE(AC292,AD292,AE292,AF292)</f>
        <v>0.05</v>
      </c>
      <c r="AI292" s="72">
        <f>AVERAGE(AD292,AE292,AF292,AH292)</f>
        <v>0.05</v>
      </c>
      <c r="AJ292" s="72">
        <f>AVERAGE(AI292,AH292,AF292,AE292)</f>
        <v>0.05</v>
      </c>
      <c r="AK292" s="72">
        <f>AVERAGE(AJ292,AI292,AH292,AF292)</f>
        <v>0.05</v>
      </c>
      <c r="AL292" s="119">
        <f>-AL261/AL17</f>
        <v>5.000000000000001E-2</v>
      </c>
    </row>
    <row r="293" spans="1:38" ht="17.25" x14ac:dyDescent="0.4">
      <c r="A293" s="293"/>
      <c r="B293" s="19"/>
      <c r="C293" s="19"/>
      <c r="D293" s="30"/>
      <c r="E293" s="30"/>
      <c r="F293" s="30"/>
      <c r="G293" s="30"/>
      <c r="H293" s="29"/>
      <c r="I293" s="30"/>
      <c r="J293" s="30"/>
      <c r="K293" s="30"/>
      <c r="L293" s="30"/>
      <c r="M293" s="29"/>
      <c r="N293" s="30"/>
      <c r="O293" s="30"/>
      <c r="P293" s="30"/>
      <c r="Q293" s="30"/>
      <c r="R293" s="29"/>
      <c r="S293" s="30"/>
      <c r="T293" s="30"/>
      <c r="U293" s="30"/>
      <c r="V293" s="30"/>
      <c r="W293" s="29"/>
      <c r="X293" s="30"/>
      <c r="Y293" s="30"/>
      <c r="Z293" s="30"/>
      <c r="AA293" s="30"/>
      <c r="AB293" s="29"/>
      <c r="AC293" s="30"/>
      <c r="AD293" s="30"/>
      <c r="AE293" s="30"/>
      <c r="AF293" s="30"/>
      <c r="AG293" s="29"/>
      <c r="AH293" s="30"/>
      <c r="AI293" s="30"/>
      <c r="AJ293" s="30"/>
      <c r="AK293" s="30"/>
      <c r="AL293" s="29"/>
    </row>
    <row r="294" spans="1:38" ht="15.75" x14ac:dyDescent="0.25">
      <c r="A294" s="293"/>
      <c r="B294" s="512" t="s">
        <v>19</v>
      </c>
      <c r="C294" s="516"/>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row>
    <row r="295" spans="1:38" outlineLevel="1" x14ac:dyDescent="0.25">
      <c r="A295" s="293"/>
      <c r="B295" s="64" t="s">
        <v>103</v>
      </c>
      <c r="C295" s="459">
        <v>35.9</v>
      </c>
      <c r="D295" s="461"/>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row>
    <row r="296" spans="1:38" outlineLevel="1" x14ac:dyDescent="0.25">
      <c r="A296" s="293"/>
      <c r="B296" s="64" t="s">
        <v>47</v>
      </c>
      <c r="C296" s="460">
        <v>40</v>
      </c>
      <c r="D296" s="462"/>
    </row>
    <row r="297" spans="1:38" outlineLevel="1" x14ac:dyDescent="0.25">
      <c r="A297" s="293"/>
      <c r="B297" s="64" t="s">
        <v>48</v>
      </c>
      <c r="C297" s="460">
        <v>32.9</v>
      </c>
      <c r="D297" s="462"/>
    </row>
    <row r="298" spans="1:38" outlineLevel="1" x14ac:dyDescent="0.25">
      <c r="A298" s="293"/>
      <c r="B298" s="50" t="s">
        <v>34</v>
      </c>
      <c r="C298" s="469">
        <v>30.9</v>
      </c>
      <c r="D298" s="462"/>
    </row>
    <row r="299" spans="1:38" ht="17.25" outlineLevel="1" x14ac:dyDescent="0.4">
      <c r="A299" s="293"/>
      <c r="B299" s="50" t="s">
        <v>104</v>
      </c>
      <c r="C299" s="158">
        <v>0</v>
      </c>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row>
    <row r="300" spans="1:38" outlineLevel="1" x14ac:dyDescent="0.25">
      <c r="A300" s="293"/>
      <c r="B300" s="157" t="s">
        <v>51</v>
      </c>
      <c r="C300" s="171">
        <f>(C298*(R43))</f>
        <v>92.565549911208862</v>
      </c>
    </row>
    <row r="301" spans="1:38" ht="15" customHeight="1" x14ac:dyDescent="0.25">
      <c r="A301" s="293"/>
      <c r="B301" s="151" t="s">
        <v>99</v>
      </c>
      <c r="C301" s="179">
        <f>C304-C327</f>
        <v>-7.7171002659781607E-4</v>
      </c>
    </row>
    <row r="302" spans="1:38" ht="15.75" x14ac:dyDescent="0.25">
      <c r="A302" s="293"/>
      <c r="B302" s="512" t="s">
        <v>26</v>
      </c>
      <c r="C302" s="516"/>
    </row>
    <row r="303" spans="1:38" outlineLevel="1" x14ac:dyDescent="0.25">
      <c r="A303" s="293"/>
      <c r="B303" s="107" t="s">
        <v>83</v>
      </c>
      <c r="C303" s="31"/>
      <c r="D303" s="461"/>
    </row>
    <row r="304" spans="1:38" outlineLevel="1" x14ac:dyDescent="0.25">
      <c r="A304" s="293"/>
      <c r="B304" s="108" t="s">
        <v>98</v>
      </c>
      <c r="C304" s="496">
        <v>87.500105200113083</v>
      </c>
      <c r="D304" s="462"/>
    </row>
    <row r="305" spans="1:4" ht="17.25" outlineLevel="1" x14ac:dyDescent="0.4">
      <c r="A305" s="293"/>
      <c r="B305" s="108" t="s">
        <v>27</v>
      </c>
      <c r="C305" s="172">
        <f>K40</f>
        <v>1168.5</v>
      </c>
      <c r="D305" s="462"/>
    </row>
    <row r="306" spans="1:4" outlineLevel="1" x14ac:dyDescent="0.25">
      <c r="A306" s="293"/>
      <c r="B306" s="114" t="s">
        <v>28</v>
      </c>
      <c r="C306" s="109">
        <f>C305*C304</f>
        <v>102243.87292633214</v>
      </c>
      <c r="D306" s="462"/>
    </row>
    <row r="307" spans="1:4" outlineLevel="1" x14ac:dyDescent="0.25">
      <c r="A307" s="293"/>
      <c r="B307" s="108" t="s">
        <v>41</v>
      </c>
      <c r="C307" s="489">
        <v>1.1249020000000001</v>
      </c>
      <c r="D307" s="462"/>
    </row>
    <row r="308" spans="1:4" outlineLevel="1" x14ac:dyDescent="0.25">
      <c r="A308" s="293"/>
      <c r="B308" s="108" t="s">
        <v>105</v>
      </c>
      <c r="C308" s="110">
        <v>0.34899999999999998</v>
      </c>
      <c r="D308" s="462"/>
    </row>
    <row r="309" spans="1:4" outlineLevel="1" x14ac:dyDescent="0.25">
      <c r="A309" s="293"/>
      <c r="B309" s="108" t="s">
        <v>106</v>
      </c>
      <c r="C309" s="488">
        <v>0.2024</v>
      </c>
      <c r="D309" s="462"/>
    </row>
    <row r="310" spans="1:4" outlineLevel="1" x14ac:dyDescent="0.25">
      <c r="A310" s="293"/>
      <c r="B310" s="115" t="s">
        <v>29</v>
      </c>
      <c r="C310" s="111">
        <f>C308*C309</f>
        <v>7.0637599999999995E-2</v>
      </c>
      <c r="D310" s="462"/>
    </row>
    <row r="311" spans="1:4" outlineLevel="1" x14ac:dyDescent="0.25">
      <c r="A311" s="293"/>
      <c r="B311" s="108" t="s">
        <v>100</v>
      </c>
      <c r="C311" s="487">
        <v>9.7000000000000003E-3</v>
      </c>
      <c r="D311" s="462"/>
    </row>
    <row r="312" spans="1:4" outlineLevel="1" x14ac:dyDescent="0.25">
      <c r="A312" s="293"/>
      <c r="B312" s="114" t="s">
        <v>30</v>
      </c>
      <c r="C312" s="117">
        <f>C311+(C307*C310)</f>
        <v>8.9160377515199993E-2</v>
      </c>
      <c r="D312" s="462"/>
    </row>
    <row r="313" spans="1:4" outlineLevel="1" x14ac:dyDescent="0.25">
      <c r="A313" s="293"/>
      <c r="B313" s="64" t="s">
        <v>31</v>
      </c>
      <c r="C313" s="112">
        <f>C306/(C306+K207+K210)</f>
        <v>0.85864691148357364</v>
      </c>
      <c r="D313" s="462"/>
    </row>
    <row r="314" spans="1:4" outlineLevel="1" x14ac:dyDescent="0.25">
      <c r="A314" s="293"/>
      <c r="B314" s="64" t="s">
        <v>32</v>
      </c>
      <c r="C314" s="112">
        <f>K153*4</f>
        <v>3.1328917978792031E-2</v>
      </c>
      <c r="D314" s="462"/>
    </row>
    <row r="315" spans="1:4" outlineLevel="1" x14ac:dyDescent="0.25">
      <c r="A315" s="293"/>
      <c r="B315" s="64" t="s">
        <v>2</v>
      </c>
      <c r="C315" s="77">
        <f>M151</f>
        <v>0.25882794548527899</v>
      </c>
      <c r="D315" s="462"/>
    </row>
    <row r="316" spans="1:4" outlineLevel="1" x14ac:dyDescent="0.25">
      <c r="A316" s="293"/>
      <c r="B316" s="64" t="s">
        <v>33</v>
      </c>
      <c r="C316" s="112">
        <f>C314*(1-C315)</f>
        <v>2.3220118504064472E-2</v>
      </c>
      <c r="D316" s="462"/>
    </row>
    <row r="317" spans="1:4" outlineLevel="1" x14ac:dyDescent="0.25">
      <c r="A317" s="293"/>
      <c r="B317" s="116" t="s">
        <v>84</v>
      </c>
      <c r="C317" s="113">
        <f>(C313*C312)+((1-C313)*C316)</f>
        <v>7.9839518246402869E-2</v>
      </c>
      <c r="D317" s="462"/>
    </row>
    <row r="318" spans="1:4" outlineLevel="1" x14ac:dyDescent="0.25">
      <c r="A318" s="293"/>
      <c r="B318" s="551" t="s">
        <v>107</v>
      </c>
      <c r="C318" s="552"/>
      <c r="D318" s="462"/>
    </row>
    <row r="319" spans="1:4" outlineLevel="1" x14ac:dyDescent="0.25">
      <c r="A319" s="293"/>
      <c r="B319" s="64" t="s">
        <v>42</v>
      </c>
      <c r="C319" s="178">
        <v>6.5000000000000002E-2</v>
      </c>
      <c r="D319" s="462"/>
    </row>
    <row r="320" spans="1:4" outlineLevel="1" x14ac:dyDescent="0.25">
      <c r="A320" s="293"/>
      <c r="B320" s="64" t="s">
        <v>43</v>
      </c>
      <c r="C320" s="178">
        <v>6.5000000000000002E-2</v>
      </c>
      <c r="D320" s="462"/>
    </row>
    <row r="321" spans="1:8" outlineLevel="1" x14ac:dyDescent="0.25">
      <c r="A321" s="293"/>
      <c r="B321" s="64" t="s">
        <v>82</v>
      </c>
      <c r="C321" s="178">
        <v>0.05</v>
      </c>
      <c r="D321" s="462"/>
    </row>
    <row r="322" spans="1:8" outlineLevel="1" x14ac:dyDescent="0.25">
      <c r="A322" s="293"/>
      <c r="B322" s="64" t="s">
        <v>108</v>
      </c>
      <c r="C322" s="495">
        <f>(C313*(C337+(C338*(C339*C340))))+((1-C313)*C316)</f>
        <v>0.10325941292926705</v>
      </c>
      <c r="D322" s="462"/>
    </row>
    <row r="323" spans="1:8" outlineLevel="1" x14ac:dyDescent="0.25">
      <c r="A323" s="293"/>
      <c r="B323" s="118" t="s">
        <v>44</v>
      </c>
      <c r="C323" s="31"/>
      <c r="D323" s="462"/>
    </row>
    <row r="324" spans="1:8" outlineLevel="1" x14ac:dyDescent="0.25">
      <c r="A324" s="293"/>
      <c r="B324" s="64" t="s">
        <v>87</v>
      </c>
      <c r="C324" s="122">
        <f>((((AL258*(1+C320))-(C321*AL17*(1+C319))+(C316*(AL207+AL210))))/(C322-C319))/(1+$C$322)^5</f>
        <v>96429.766091147118</v>
      </c>
      <c r="D324" s="462"/>
    </row>
    <row r="325" spans="1:8" outlineLevel="1" x14ac:dyDescent="0.25">
      <c r="A325" s="293"/>
      <c r="B325" s="64" t="s">
        <v>86</v>
      </c>
      <c r="C325" s="122">
        <f>R280+W280+AB280+AG280+AL280</f>
        <v>18227.508578351091</v>
      </c>
      <c r="D325" s="462"/>
    </row>
    <row r="326" spans="1:8" ht="17.25" outlineLevel="1" x14ac:dyDescent="0.4">
      <c r="A326" s="293"/>
      <c r="B326" s="64" t="s">
        <v>50</v>
      </c>
      <c r="C326" s="173">
        <f>+K284</f>
        <v>-10.62259306803594</v>
      </c>
      <c r="D326" s="462"/>
    </row>
    <row r="327" spans="1:8" outlineLevel="1" x14ac:dyDescent="0.25">
      <c r="A327" s="293"/>
      <c r="B327" s="157" t="s">
        <v>52</v>
      </c>
      <c r="C327" s="471">
        <f>(C324+C325)/C305+C326</f>
        <v>87.500876910139681</v>
      </c>
      <c r="D327" s="462"/>
      <c r="H327" s="472"/>
    </row>
    <row r="328" spans="1:8" ht="13.5" customHeight="1" x14ac:dyDescent="0.25">
      <c r="A328" s="293"/>
      <c r="C328" s="32"/>
    </row>
    <row r="329" spans="1:8" ht="15.75" x14ac:dyDescent="0.25">
      <c r="A329" s="293"/>
      <c r="B329" s="512" t="s">
        <v>109</v>
      </c>
      <c r="C329" s="516"/>
      <c r="D329" s="461"/>
    </row>
    <row r="330" spans="1:8" outlineLevel="1" x14ac:dyDescent="0.25">
      <c r="A330" s="293"/>
      <c r="B330" s="129" t="s">
        <v>368</v>
      </c>
      <c r="C330" s="131">
        <f>'Std Dev'!E17</f>
        <v>-1.2922113843220997E-2</v>
      </c>
      <c r="D330" s="462"/>
    </row>
    <row r="331" spans="1:8" outlineLevel="1" x14ac:dyDescent="0.25">
      <c r="A331" s="293"/>
      <c r="B331" s="64" t="s">
        <v>63</v>
      </c>
      <c r="C331" s="132">
        <f>'Std Dev'!G20</f>
        <v>7.8710018493084066E-2</v>
      </c>
      <c r="D331" s="462"/>
    </row>
    <row r="332" spans="1:8" outlineLevel="1" x14ac:dyDescent="0.25">
      <c r="A332" s="293"/>
      <c r="B332" s="64" t="s">
        <v>66</v>
      </c>
      <c r="C332" s="130">
        <f>C9</f>
        <v>90.033213410674279</v>
      </c>
      <c r="D332" s="462"/>
    </row>
    <row r="333" spans="1:8" outlineLevel="1" x14ac:dyDescent="0.25">
      <c r="A333" s="293"/>
      <c r="B333" s="64" t="s">
        <v>64</v>
      </c>
      <c r="C333" s="130">
        <f>C332*(1+(C330+(2*C331)))</f>
        <v>103.04282576240244</v>
      </c>
      <c r="D333" s="462"/>
    </row>
    <row r="334" spans="1:8" outlineLevel="1" x14ac:dyDescent="0.25">
      <c r="A334" s="293"/>
      <c r="B334" s="159" t="s">
        <v>65</v>
      </c>
      <c r="C334" s="160">
        <f>C332*(1+(C330-(2*C331)))</f>
        <v>74.696762192218614</v>
      </c>
      <c r="D334" s="462"/>
    </row>
    <row r="335" spans="1:8" ht="14.45" customHeight="1" x14ac:dyDescent="0.25">
      <c r="D335" s="462"/>
    </row>
    <row r="336" spans="1:8" ht="15.75" x14ac:dyDescent="0.25">
      <c r="B336" s="567" t="s">
        <v>376</v>
      </c>
      <c r="C336" s="568"/>
    </row>
    <row r="337" spans="2:3" x14ac:dyDescent="0.25">
      <c r="B337" s="64" t="s">
        <v>375</v>
      </c>
      <c r="C337" s="490">
        <v>6.1578175614899283E-2</v>
      </c>
    </row>
    <row r="338" spans="2:3" x14ac:dyDescent="0.25">
      <c r="B338" s="108" t="s">
        <v>372</v>
      </c>
      <c r="C338" s="491">
        <v>1.0440447141027811</v>
      </c>
    </row>
    <row r="339" spans="2:3" x14ac:dyDescent="0.25">
      <c r="B339" s="64" t="s">
        <v>373</v>
      </c>
      <c r="C339" s="492">
        <v>0.31171527531865395</v>
      </c>
    </row>
    <row r="340" spans="2:3" x14ac:dyDescent="0.25">
      <c r="B340" s="493" t="s">
        <v>374</v>
      </c>
      <c r="C340" s="494">
        <v>0.16856182918818</v>
      </c>
    </row>
  </sheetData>
  <dataConsolidate/>
  <mergeCells count="124">
    <mergeCell ref="B202:C202"/>
    <mergeCell ref="B201:C201"/>
    <mergeCell ref="B147:C147"/>
    <mergeCell ref="B165:C165"/>
    <mergeCell ref="B4:C4"/>
    <mergeCell ref="B336:C336"/>
    <mergeCell ref="B265:C265"/>
    <mergeCell ref="B172:C172"/>
    <mergeCell ref="B179:C179"/>
    <mergeCell ref="B169:C169"/>
    <mergeCell ref="B170:C170"/>
    <mergeCell ref="B228:C228"/>
    <mergeCell ref="B229:C229"/>
    <mergeCell ref="B47:C47"/>
    <mergeCell ref="B46:C46"/>
    <mergeCell ref="B57:C57"/>
    <mergeCell ref="B102:C102"/>
    <mergeCell ref="B103:C103"/>
    <mergeCell ref="B81:C81"/>
    <mergeCell ref="B82:C82"/>
    <mergeCell ref="B90:C90"/>
    <mergeCell ref="B93:C93"/>
    <mergeCell ref="B97:C97"/>
    <mergeCell ref="B98:C98"/>
    <mergeCell ref="B215:C215"/>
    <mergeCell ref="B214:C214"/>
    <mergeCell ref="B70:C70"/>
    <mergeCell ref="B49:C49"/>
    <mergeCell ref="B60:C60"/>
    <mergeCell ref="B64:C64"/>
    <mergeCell ref="B132:C132"/>
    <mergeCell ref="B118:C118"/>
    <mergeCell ref="B129:C129"/>
    <mergeCell ref="B130:C130"/>
    <mergeCell ref="B116:C116"/>
    <mergeCell ref="B115:C115"/>
    <mergeCell ref="B318:C318"/>
    <mergeCell ref="B185:C185"/>
    <mergeCell ref="B184:C184"/>
    <mergeCell ref="B182:C182"/>
    <mergeCell ref="B258:C258"/>
    <mergeCell ref="B253:C253"/>
    <mergeCell ref="B254:C254"/>
    <mergeCell ref="B251:C251"/>
    <mergeCell ref="B250:C250"/>
    <mergeCell ref="B239:C239"/>
    <mergeCell ref="B231:C231"/>
    <mergeCell ref="B230:C230"/>
    <mergeCell ref="B227:C227"/>
    <mergeCell ref="B226:C226"/>
    <mergeCell ref="B220:C220"/>
    <mergeCell ref="B218:C218"/>
    <mergeCell ref="B217:C217"/>
    <mergeCell ref="B216:C216"/>
    <mergeCell ref="B262:C262"/>
    <mergeCell ref="B232:C232"/>
    <mergeCell ref="B302:C302"/>
    <mergeCell ref="B259:C259"/>
    <mergeCell ref="B200:C200"/>
    <mergeCell ref="B257:C257"/>
    <mergeCell ref="B5:C5"/>
    <mergeCell ref="B13:C13"/>
    <mergeCell ref="B42:C42"/>
    <mergeCell ref="B41:C41"/>
    <mergeCell ref="B40:C40"/>
    <mergeCell ref="B39:C39"/>
    <mergeCell ref="B34:C34"/>
    <mergeCell ref="B17:C17"/>
    <mergeCell ref="B33:C33"/>
    <mergeCell ref="B32:C32"/>
    <mergeCell ref="B14:C14"/>
    <mergeCell ref="B15:C15"/>
    <mergeCell ref="B16:C16"/>
    <mergeCell ref="B18:C18"/>
    <mergeCell ref="B25:C25"/>
    <mergeCell ref="B12:C12"/>
    <mergeCell ref="B329:C329"/>
    <mergeCell ref="B2:C2"/>
    <mergeCell ref="B275:C275"/>
    <mergeCell ref="B273:C273"/>
    <mergeCell ref="B272:C272"/>
    <mergeCell ref="B291:C291"/>
    <mergeCell ref="B288:C288"/>
    <mergeCell ref="B287:C287"/>
    <mergeCell ref="B286:C286"/>
    <mergeCell ref="B285:C285"/>
    <mergeCell ref="B280:C280"/>
    <mergeCell ref="B278:C278"/>
    <mergeCell ref="B284:C284"/>
    <mergeCell ref="B277:C277"/>
    <mergeCell ref="B276:C276"/>
    <mergeCell ref="B294:C294"/>
    <mergeCell ref="B162:C162"/>
    <mergeCell ref="B161:C161"/>
    <mergeCell ref="B261:C261"/>
    <mergeCell ref="B223:C223"/>
    <mergeCell ref="B198:C198"/>
    <mergeCell ref="B3:C3"/>
    <mergeCell ref="B163:C163"/>
    <mergeCell ref="B164:C164"/>
    <mergeCell ref="A12:A13"/>
    <mergeCell ref="B48:C48"/>
    <mergeCell ref="B264:C264"/>
    <mergeCell ref="B263:C263"/>
    <mergeCell ref="B241:C241"/>
    <mergeCell ref="B224:C224"/>
    <mergeCell ref="B221:C221"/>
    <mergeCell ref="B159:C159"/>
    <mergeCell ref="B158:C158"/>
    <mergeCell ref="B151:C151"/>
    <mergeCell ref="B153:C153"/>
    <mergeCell ref="B141:C141"/>
    <mergeCell ref="B213:C213"/>
    <mergeCell ref="B150:C150"/>
    <mergeCell ref="B160:C160"/>
    <mergeCell ref="B149:C149"/>
    <mergeCell ref="B152:C152"/>
    <mergeCell ref="B157:C157"/>
    <mergeCell ref="B189:C189"/>
    <mergeCell ref="B187:C187"/>
    <mergeCell ref="B148:C148"/>
    <mergeCell ref="B199:C199"/>
    <mergeCell ref="B65:C65"/>
    <mergeCell ref="B69:C69"/>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8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N41"/>
  <sheetViews>
    <sheetView showGridLines="0" zoomScaleNormal="100" workbookViewId="0">
      <selection activeCell="D22" sqref="D2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135" t="s">
        <v>329</v>
      </c>
    </row>
    <row r="2" spans="2:14" x14ac:dyDescent="0.25">
      <c r="B2" s="135"/>
    </row>
    <row r="3" spans="2:14" x14ac:dyDescent="0.25">
      <c r="B3" s="135"/>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571"/>
      <c r="I7" s="571"/>
      <c r="J7" s="571"/>
      <c r="K7" s="571"/>
      <c r="L7" s="571"/>
      <c r="M7" s="571"/>
      <c r="N7" s="571"/>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35"/>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35"/>
    </row>
    <row r="41" spans="2:2" x14ac:dyDescent="0.25">
      <c r="B41" s="135"/>
    </row>
  </sheetData>
  <mergeCells count="1">
    <mergeCell ref="H7:N7"/>
  </mergeCell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G21"/>
  <sheetViews>
    <sheetView showGridLines="0" workbookViewId="0">
      <selection activeCell="E18" sqref="E18"/>
    </sheetView>
  </sheetViews>
  <sheetFormatPr defaultRowHeight="15" x14ac:dyDescent="0.25"/>
  <cols>
    <col min="1" max="1" width="1.28515625" customWidth="1"/>
    <col min="2" max="2" width="12.28515625" customWidth="1"/>
    <col min="4" max="4" width="9.5703125" customWidth="1"/>
    <col min="7" max="7" width="9.5703125" bestFit="1" customWidth="1"/>
  </cols>
  <sheetData>
    <row r="1" spans="2:7" x14ac:dyDescent="0.25">
      <c r="B1" t="s">
        <v>359</v>
      </c>
    </row>
    <row r="2" spans="2:7" x14ac:dyDescent="0.25">
      <c r="B2" t="s">
        <v>88</v>
      </c>
    </row>
    <row r="3" spans="2:7" ht="45" x14ac:dyDescent="0.25">
      <c r="B3" s="136" t="s">
        <v>89</v>
      </c>
      <c r="C3" s="136" t="s">
        <v>360</v>
      </c>
      <c r="D3" s="136" t="s">
        <v>361</v>
      </c>
      <c r="E3" s="136" t="s">
        <v>90</v>
      </c>
      <c r="F3" s="136" t="s">
        <v>91</v>
      </c>
      <c r="G3" s="136" t="s">
        <v>92</v>
      </c>
    </row>
    <row r="4" spans="2:7" x14ac:dyDescent="0.25">
      <c r="B4" s="451">
        <v>43677</v>
      </c>
      <c r="C4" s="452">
        <v>92.400169000000005</v>
      </c>
      <c r="D4" s="174"/>
      <c r="E4" s="175"/>
      <c r="F4" s="176"/>
      <c r="G4" s="143"/>
    </row>
    <row r="5" spans="2:7" x14ac:dyDescent="0.25">
      <c r="B5" s="451">
        <v>43707</v>
      </c>
      <c r="C5" s="452">
        <v>94.582076999999998</v>
      </c>
      <c r="D5" s="2">
        <v>2.3613679754200367E-2</v>
      </c>
      <c r="E5" s="140">
        <f>+C5/C4-1</f>
        <v>2.3613679754200367E-2</v>
      </c>
      <c r="F5" s="141">
        <f t="shared" ref="F5:F16" si="0">E5-$E$17</f>
        <v>3.6535793597421366E-2</v>
      </c>
      <c r="G5" s="149">
        <f>F5^2</f>
        <v>1.3348642137933761E-3</v>
      </c>
    </row>
    <row r="6" spans="2:7" x14ac:dyDescent="0.25">
      <c r="B6" s="451">
        <v>43738</v>
      </c>
      <c r="C6" s="452">
        <v>86.608810000000005</v>
      </c>
      <c r="D6" s="2">
        <v>-8.429997789115995E-2</v>
      </c>
      <c r="E6" s="140">
        <f>+C6/C5-1</f>
        <v>-8.429997789115995E-2</v>
      </c>
      <c r="F6" s="141">
        <f t="shared" si="0"/>
        <v>-7.1377864047938958E-2</v>
      </c>
      <c r="G6" s="149">
        <f>F6^2</f>
        <v>5.0947994760460564E-3</v>
      </c>
    </row>
    <row r="7" spans="2:7" x14ac:dyDescent="0.25">
      <c r="B7" s="451">
        <v>43769</v>
      </c>
      <c r="C7" s="452">
        <v>82.827881000000005</v>
      </c>
      <c r="D7" s="2">
        <v>-4.3655247081676785E-2</v>
      </c>
      <c r="E7" s="140">
        <f t="shared" ref="E7:E16" si="1">+C7/C6-1</f>
        <v>-4.3655247081676785E-2</v>
      </c>
      <c r="F7" s="141">
        <f t="shared" si="0"/>
        <v>-3.0733133238455786E-2</v>
      </c>
      <c r="G7" s="149">
        <f t="shared" ref="G7:G15" si="2">F7^2</f>
        <v>9.4452547865267586E-4</v>
      </c>
    </row>
    <row r="8" spans="2:7" x14ac:dyDescent="0.25">
      <c r="B8" s="451">
        <v>43798</v>
      </c>
      <c r="C8" s="453">
        <v>84.098358000000005</v>
      </c>
      <c r="D8" s="2">
        <v>1.5338760145270358E-2</v>
      </c>
      <c r="E8" s="140">
        <f t="shared" si="1"/>
        <v>1.5338760145270358E-2</v>
      </c>
      <c r="F8" s="141">
        <f t="shared" si="0"/>
        <v>2.8260873988491357E-2</v>
      </c>
      <c r="G8" s="149">
        <f t="shared" si="2"/>
        <v>7.9867699859338735E-4</v>
      </c>
    </row>
    <row r="9" spans="2:7" x14ac:dyDescent="0.25">
      <c r="B9" s="451">
        <v>43830</v>
      </c>
      <c r="C9" s="453">
        <v>86.549553000000003</v>
      </c>
      <c r="D9" s="2">
        <v>2.9146764078318954E-2</v>
      </c>
      <c r="E9" s="140">
        <f t="shared" si="1"/>
        <v>2.9146764078318954E-2</v>
      </c>
      <c r="F9" s="141">
        <f t="shared" si="0"/>
        <v>4.2068877921539953E-2</v>
      </c>
      <c r="G9" s="149">
        <f t="shared" si="2"/>
        <v>1.7697904895774318E-3</v>
      </c>
    </row>
    <row r="10" spans="2:7" x14ac:dyDescent="0.25">
      <c r="B10" s="451">
        <v>43861</v>
      </c>
      <c r="C10" s="453">
        <v>83.507712999999995</v>
      </c>
      <c r="D10" s="2">
        <v>-3.5145646563882416E-2</v>
      </c>
      <c r="E10" s="140">
        <f t="shared" si="1"/>
        <v>-3.5145646563882416E-2</v>
      </c>
      <c r="F10" s="141">
        <f t="shared" si="0"/>
        <v>-2.2223532720661417E-2</v>
      </c>
      <c r="G10" s="149">
        <f t="shared" si="2"/>
        <v>4.9388540658630868E-4</v>
      </c>
    </row>
    <row r="11" spans="2:7" x14ac:dyDescent="0.25">
      <c r="B11" s="451">
        <v>43889</v>
      </c>
      <c r="C11" s="453">
        <v>77.567307</v>
      </c>
      <c r="D11" s="2">
        <v>-7.1136015903105809E-2</v>
      </c>
      <c r="E11" s="140">
        <f t="shared" si="1"/>
        <v>-7.1136015903105809E-2</v>
      </c>
      <c r="F11" s="141">
        <f t="shared" si="0"/>
        <v>-5.821390205988481E-2</v>
      </c>
      <c r="G11" s="149">
        <f t="shared" si="2"/>
        <v>3.3888583930378612E-3</v>
      </c>
    </row>
    <row r="12" spans="2:7" x14ac:dyDescent="0.25">
      <c r="B12" s="451">
        <v>43921</v>
      </c>
      <c r="C12" s="453">
        <v>65.016891000000001</v>
      </c>
      <c r="D12" s="2">
        <v>-0.16180033167839636</v>
      </c>
      <c r="E12" s="140">
        <f t="shared" si="1"/>
        <v>-0.16180033167839636</v>
      </c>
      <c r="F12" s="141">
        <f t="shared" si="0"/>
        <v>-0.14887821783517535</v>
      </c>
      <c r="G12" s="149">
        <f t="shared" si="2"/>
        <v>2.2164723745777923E-2</v>
      </c>
    </row>
    <row r="13" spans="2:7" x14ac:dyDescent="0.25">
      <c r="B13" s="451">
        <v>43951</v>
      </c>
      <c r="C13" s="453">
        <v>75.886009000000001</v>
      </c>
      <c r="D13" s="2">
        <v>0.1671737579700634</v>
      </c>
      <c r="E13" s="140">
        <f t="shared" si="1"/>
        <v>0.1671737579700634</v>
      </c>
      <c r="F13" s="141">
        <f t="shared" si="0"/>
        <v>0.1800958718132844</v>
      </c>
      <c r="G13" s="149">
        <f t="shared" si="2"/>
        <v>3.2434523044186966E-2</v>
      </c>
    </row>
    <row r="14" spans="2:7" x14ac:dyDescent="0.25">
      <c r="B14" s="451">
        <v>43980</v>
      </c>
      <c r="C14" s="453">
        <v>77.568047000000007</v>
      </c>
      <c r="D14" s="2">
        <v>2.2165324308990986E-2</v>
      </c>
      <c r="E14" s="140">
        <f>+C14/C13-1</f>
        <v>2.2165324308990986E-2</v>
      </c>
      <c r="F14" s="141">
        <f t="shared" si="0"/>
        <v>3.5087438152211985E-2</v>
      </c>
      <c r="G14" s="149">
        <f t="shared" si="2"/>
        <v>1.2311283160853011E-3</v>
      </c>
    </row>
    <row r="15" spans="2:7" x14ac:dyDescent="0.25">
      <c r="B15" s="451">
        <v>44012</v>
      </c>
      <c r="C15" s="453">
        <v>73.191849000000005</v>
      </c>
      <c r="D15" s="2">
        <v>-5.6417534916149203E-2</v>
      </c>
      <c r="E15" s="140">
        <f t="shared" si="1"/>
        <v>-5.6417534916149203E-2</v>
      </c>
      <c r="F15" s="141">
        <f t="shared" si="0"/>
        <v>-4.3495421072928205E-2</v>
      </c>
      <c r="G15" s="149">
        <f t="shared" si="2"/>
        <v>1.8918516543113269E-3</v>
      </c>
    </row>
    <row r="16" spans="2:7" x14ac:dyDescent="0.25">
      <c r="B16" s="454">
        <v>44043</v>
      </c>
      <c r="C16" s="455">
        <v>76.115943999999999</v>
      </c>
      <c r="D16" s="456">
        <v>3.9951101658874499E-2</v>
      </c>
      <c r="E16" s="177">
        <f t="shared" si="1"/>
        <v>3.9951101658874499E-2</v>
      </c>
      <c r="F16" s="142">
        <f t="shared" si="0"/>
        <v>5.2873215502095498E-2</v>
      </c>
      <c r="G16" s="150">
        <f>F16^2</f>
        <v>2.7955769175310318E-3</v>
      </c>
    </row>
    <row r="17" spans="3:7" x14ac:dyDescent="0.25">
      <c r="C17" s="137"/>
      <c r="D17" s="457" t="s">
        <v>93</v>
      </c>
      <c r="E17" s="458">
        <f>AVERAGE(E5:E16)</f>
        <v>-1.2922113843220997E-2</v>
      </c>
      <c r="G17" s="138"/>
    </row>
    <row r="18" spans="3:7" x14ac:dyDescent="0.25">
      <c r="C18" s="137"/>
      <c r="F18" s="144" t="s">
        <v>94</v>
      </c>
      <c r="G18" s="154">
        <f>SUM(G5:G16)</f>
        <v>7.4343204134179636E-2</v>
      </c>
    </row>
    <row r="19" spans="3:7" x14ac:dyDescent="0.25">
      <c r="C19" s="137"/>
      <c r="F19" s="144" t="s">
        <v>95</v>
      </c>
      <c r="G19" s="145">
        <f>G18/12</f>
        <v>6.1952670111816363E-3</v>
      </c>
    </row>
    <row r="20" spans="3:7" x14ac:dyDescent="0.25">
      <c r="C20" s="137"/>
      <c r="E20" s="146"/>
      <c r="F20" s="147" t="s">
        <v>96</v>
      </c>
      <c r="G20" s="148">
        <f>SQRT(G19)</f>
        <v>7.8710018493084066E-2</v>
      </c>
    </row>
    <row r="21" spans="3:7" x14ac:dyDescent="0.25">
      <c r="C21" s="155"/>
      <c r="D21" s="139"/>
      <c r="E21" s="139"/>
      <c r="F21" s="473" t="s">
        <v>97</v>
      </c>
      <c r="G21" s="474">
        <f>_xlfn.STDEV.P(E5:E16)-G20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Earnings Model</vt:lpstr>
      <vt:lpstr>Recon of ASRs</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Barber</dc:creator>
  <cp:lastModifiedBy>Gutenberg Research</cp:lastModifiedBy>
  <cp:lastPrinted>2015-01-03T01:11:29Z</cp:lastPrinted>
  <dcterms:created xsi:type="dcterms:W3CDTF">2014-10-18T18:34:10Z</dcterms:created>
  <dcterms:modified xsi:type="dcterms:W3CDTF">2020-10-28T00:38:47Z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